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02ABFDA-A238-43B3-88FC-5C1C0B03C56D}" xr6:coauthVersionLast="47" xr6:coauthVersionMax="47" xr10:uidLastSave="{00000000-0000-0000-0000-000000000000}"/>
  <bookViews>
    <workbookView xWindow="-120" yWindow="-120" windowWidth="29040" windowHeight="15840" tabRatio="488" activeTab="1" xr2:uid="{00000000-000D-0000-FFFF-FFFF00000000}"/>
  </bookViews>
  <sheets>
    <sheet name="СВОД каз." sheetId="2" r:id="rId1"/>
    <sheet name="СВОД рус." sheetId="1" r:id="rId2"/>
  </sheets>
  <definedNames>
    <definedName name="_xlnm.Print_Area" localSheetId="0">'СВОД каз.'!$A$1:$AX$60</definedName>
    <definedName name="_xlnm.Print_Area" localSheetId="1">'СВОД рус.'!$A$1:$AX$60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9" i="2" l="1"/>
  <c r="X57" i="2"/>
  <c r="O59" i="2"/>
  <c r="O57" i="2"/>
  <c r="O56" i="2"/>
  <c r="F59" i="2"/>
  <c r="F58" i="2"/>
  <c r="X48" i="2"/>
  <c r="O49" i="2"/>
  <c r="O48" i="2"/>
  <c r="F49" i="2"/>
  <c r="F48" i="2"/>
  <c r="X29" i="2"/>
  <c r="O33" i="2"/>
  <c r="O31" i="2"/>
  <c r="O28" i="2"/>
  <c r="O26" i="2"/>
  <c r="F40" i="2"/>
  <c r="F38" i="2"/>
  <c r="F31" i="2"/>
  <c r="L19" i="2"/>
  <c r="L19" i="1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6" i="1"/>
  <c r="W5" i="1"/>
  <c r="K6" i="2"/>
  <c r="L6" i="2"/>
  <c r="K7" i="2"/>
  <c r="L7" i="2"/>
  <c r="K8" i="2"/>
  <c r="K19" i="2" s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L5" i="2"/>
  <c r="K5" i="2"/>
  <c r="L5" i="1"/>
  <c r="K5" i="1"/>
  <c r="R11" i="2"/>
  <c r="R10" i="2"/>
  <c r="R8" i="2"/>
  <c r="O12" i="2"/>
  <c r="O11" i="2"/>
  <c r="O10" i="2"/>
  <c r="O9" i="2"/>
  <c r="O7" i="2"/>
  <c r="O5" i="2"/>
  <c r="K19" i="1"/>
  <c r="X57" i="1"/>
  <c r="O59" i="1"/>
  <c r="F59" i="1"/>
  <c r="X48" i="1"/>
  <c r="O48" i="1"/>
  <c r="F49" i="1"/>
  <c r="X29" i="1"/>
  <c r="F38" i="1"/>
  <c r="R10" i="1"/>
  <c r="R11" i="1"/>
  <c r="O9" i="1"/>
  <c r="O12" i="1"/>
  <c r="O7" i="1"/>
  <c r="R8" i="1"/>
  <c r="R39" i="1"/>
  <c r="R48" i="1"/>
  <c r="R59" i="1"/>
  <c r="L59" i="1"/>
  <c r="L49" i="1"/>
  <c r="L33" i="1"/>
  <c r="O5" i="1"/>
  <c r="O11" i="1"/>
  <c r="H19" i="1" l="1"/>
  <c r="N19" i="1"/>
  <c r="Q19" i="1"/>
  <c r="T19" i="1"/>
  <c r="U19" i="1"/>
  <c r="Y19" i="1"/>
  <c r="R42" i="1" l="1"/>
  <c r="R37" i="1"/>
  <c r="R49" i="1"/>
  <c r="R58" i="1"/>
  <c r="R57" i="1" l="1"/>
  <c r="O56" i="1" l="1"/>
  <c r="O28" i="1"/>
  <c r="L39" i="1"/>
  <c r="L31" i="1"/>
  <c r="L24" i="1"/>
  <c r="L48" i="1"/>
  <c r="L56" i="1"/>
  <c r="F58" i="1"/>
  <c r="F48" i="1"/>
  <c r="F31" i="1"/>
  <c r="I34" i="1" l="1"/>
  <c r="I33" i="1"/>
  <c r="S19" i="2" l="1"/>
  <c r="B19" i="2"/>
  <c r="C19" i="2"/>
  <c r="E19" i="2"/>
  <c r="F19" i="2"/>
  <c r="H19" i="2"/>
  <c r="I19" i="2"/>
  <c r="N19" i="2"/>
  <c r="O19" i="2"/>
  <c r="Q19" i="2"/>
  <c r="R19" i="2"/>
  <c r="T19" i="2"/>
  <c r="U19" i="2"/>
  <c r="W19" i="2"/>
  <c r="AN43" i="2"/>
  <c r="AR43" i="2"/>
  <c r="B43" i="2"/>
  <c r="C43" i="2"/>
  <c r="E43" i="2"/>
  <c r="F43" i="2"/>
  <c r="H43" i="2"/>
  <c r="I43" i="2"/>
  <c r="K43" i="2"/>
  <c r="L43" i="2"/>
  <c r="N43" i="2"/>
  <c r="Q43" i="2"/>
  <c r="T43" i="2"/>
  <c r="U43" i="2"/>
  <c r="W43" i="2"/>
  <c r="X43" i="2"/>
  <c r="Z43" i="2"/>
  <c r="AA43" i="2"/>
  <c r="AB43" i="2" s="1"/>
  <c r="AC43" i="2"/>
  <c r="AD43" i="2"/>
  <c r="AE43" i="2" s="1"/>
  <c r="AF43" i="2"/>
  <c r="AG43" i="2"/>
  <c r="AH43" i="2"/>
  <c r="AI43" i="2"/>
  <c r="AJ43" i="2"/>
  <c r="AL43" i="2"/>
  <c r="AM43" i="2"/>
  <c r="AO43" i="2"/>
  <c r="AP43" i="2"/>
  <c r="AQ43" i="2" s="1"/>
  <c r="G51" i="2"/>
  <c r="J51" i="2"/>
  <c r="AE51" i="2"/>
  <c r="AN51" i="2"/>
  <c r="B51" i="2"/>
  <c r="C51" i="2"/>
  <c r="E51" i="2"/>
  <c r="F51" i="2"/>
  <c r="H51" i="2"/>
  <c r="I51" i="2"/>
  <c r="K51" i="2"/>
  <c r="L51" i="2"/>
  <c r="M51" i="2"/>
  <c r="N51" i="2"/>
  <c r="Q51" i="2"/>
  <c r="T51" i="2"/>
  <c r="U51" i="2"/>
  <c r="W51" i="2"/>
  <c r="X51" i="2"/>
  <c r="Z51" i="2"/>
  <c r="AA51" i="2"/>
  <c r="AB51" i="2" s="1"/>
  <c r="AC51" i="2"/>
  <c r="AD51" i="2"/>
  <c r="AF51" i="2"/>
  <c r="AG51" i="2"/>
  <c r="AI51" i="2"/>
  <c r="AJ51" i="2"/>
  <c r="AL51" i="2"/>
  <c r="AM51" i="2"/>
  <c r="AO51" i="2"/>
  <c r="AP51" i="2"/>
  <c r="AQ51" i="2" s="1"/>
  <c r="AR51" i="2"/>
  <c r="AR60" i="2"/>
  <c r="B60" i="2"/>
  <c r="E60" i="2"/>
  <c r="F60" i="2"/>
  <c r="H60" i="2"/>
  <c r="I60" i="2"/>
  <c r="K60" i="2"/>
  <c r="L60" i="2"/>
  <c r="N60" i="2"/>
  <c r="O60" i="2"/>
  <c r="Q60" i="2"/>
  <c r="T60" i="2"/>
  <c r="U60" i="2"/>
  <c r="W60" i="2"/>
  <c r="X60" i="2"/>
  <c r="Z60" i="2"/>
  <c r="AA60" i="2"/>
  <c r="AC60" i="2"/>
  <c r="AD60" i="2"/>
  <c r="AF60" i="2"/>
  <c r="AG60" i="2"/>
  <c r="AI60" i="2"/>
  <c r="AJ60" i="2"/>
  <c r="AL60" i="2"/>
  <c r="AM60" i="2"/>
  <c r="AO60" i="2"/>
  <c r="AP60" i="2"/>
  <c r="AQ60" i="2" l="1"/>
  <c r="M19" i="2"/>
  <c r="R51" i="2"/>
  <c r="O51" i="2"/>
  <c r="AK43" i="2"/>
  <c r="C60" i="2"/>
  <c r="AH60" i="2"/>
  <c r="X19" i="2"/>
  <c r="D51" i="2"/>
  <c r="AS43" i="2"/>
  <c r="S60" i="2"/>
  <c r="R43" i="2"/>
  <c r="M60" i="2"/>
  <c r="G19" i="2"/>
  <c r="AN60" i="2"/>
  <c r="Y60" i="2"/>
  <c r="AE60" i="2"/>
  <c r="Y51" i="2"/>
  <c r="O43" i="2"/>
  <c r="V43" i="2"/>
  <c r="J19" i="2"/>
  <c r="G60" i="2"/>
  <c r="Z19" i="2"/>
  <c r="V60" i="2"/>
  <c r="P60" i="2"/>
  <c r="V19" i="2"/>
  <c r="AK60" i="2"/>
  <c r="AH51" i="2"/>
  <c r="D19" i="2"/>
  <c r="R19" i="1"/>
  <c r="AT43" i="2" l="1"/>
  <c r="G43" i="2"/>
  <c r="P19" i="2"/>
  <c r="AB60" i="2"/>
  <c r="V51" i="2"/>
  <c r="J43" i="2"/>
  <c r="P43" i="2"/>
  <c r="M43" i="2"/>
  <c r="P51" i="2"/>
  <c r="S51" i="2"/>
  <c r="Y43" i="2"/>
  <c r="D43" i="2"/>
  <c r="J60" i="2"/>
  <c r="AS60" i="2"/>
  <c r="AS51" i="2"/>
  <c r="E19" i="1"/>
  <c r="C19" i="1"/>
  <c r="B19" i="1"/>
  <c r="F19" i="1"/>
  <c r="I19" i="1"/>
  <c r="W18" i="1"/>
  <c r="L30" i="1"/>
  <c r="O57" i="1"/>
  <c r="O49" i="1"/>
  <c r="O31" i="1"/>
  <c r="O26" i="1"/>
  <c r="S43" i="2" l="1"/>
  <c r="D60" i="2"/>
  <c r="AT51" i="2"/>
  <c r="AT60" i="2"/>
  <c r="AR58" i="1"/>
  <c r="R41" i="1"/>
  <c r="L36" i="1"/>
  <c r="AS58" i="1" l="1"/>
  <c r="AS57" i="1"/>
  <c r="AC51" i="1"/>
  <c r="AC43" i="1"/>
  <c r="AD43" i="1"/>
  <c r="AA51" i="1"/>
  <c r="AA43" i="1"/>
  <c r="X43" i="1"/>
  <c r="W43" i="1"/>
  <c r="R60" i="1"/>
  <c r="U59" i="1" l="1"/>
  <c r="AS59" i="1" s="1"/>
  <c r="U48" i="1"/>
  <c r="O33" i="1"/>
  <c r="R31" i="1"/>
  <c r="U33" i="1"/>
  <c r="C35" i="1"/>
  <c r="L27" i="1" l="1"/>
  <c r="L43" i="1" s="1"/>
  <c r="I56" i="1" l="1"/>
  <c r="I49" i="1"/>
  <c r="I38" i="1"/>
  <c r="O10" i="1"/>
  <c r="O19" i="1" s="1"/>
  <c r="F40" i="1" l="1"/>
  <c r="W11" i="1" l="1"/>
  <c r="Q60" i="1" l="1"/>
  <c r="B43" i="1" l="1"/>
  <c r="U43" i="1"/>
  <c r="T51" i="1" l="1"/>
  <c r="U51" i="1"/>
  <c r="AO43" i="1"/>
  <c r="AP43" i="1"/>
  <c r="AQ29" i="1" s="1"/>
  <c r="AQ43" i="1" s="1"/>
  <c r="AO51" i="1"/>
  <c r="AP51" i="1"/>
  <c r="AQ49" i="1" s="1"/>
  <c r="AQ51" i="1" s="1"/>
  <c r="AO60" i="1"/>
  <c r="AP60" i="1"/>
  <c r="AQ57" i="1" s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S29" i="1"/>
  <c r="AR49" i="1"/>
  <c r="AS49" i="1"/>
  <c r="AR56" i="1"/>
  <c r="AS56" i="1"/>
  <c r="AQ56" i="1" l="1"/>
  <c r="AQ59" i="1"/>
  <c r="AQ58" i="1"/>
  <c r="AQ60" i="1" l="1"/>
  <c r="AR43" i="1" l="1"/>
  <c r="AJ43" i="1" l="1"/>
  <c r="AG43" i="1"/>
  <c r="M41" i="1"/>
  <c r="D18" i="1" l="1"/>
  <c r="J18" i="1"/>
  <c r="P18" i="1"/>
  <c r="Z11" i="1"/>
  <c r="Z17" i="1" l="1"/>
  <c r="Z6" i="1"/>
  <c r="Z10" i="1"/>
  <c r="Z8" i="1"/>
  <c r="Z7" i="1"/>
  <c r="Z9" i="1"/>
  <c r="G18" i="1"/>
  <c r="G7" i="1"/>
  <c r="Z5" i="1"/>
  <c r="Z13" i="1"/>
  <c r="Z18" i="1"/>
  <c r="Z15" i="1"/>
  <c r="Z12" i="1"/>
  <c r="Z16" i="1"/>
  <c r="Z14" i="1"/>
  <c r="V18" i="1"/>
  <c r="V17" i="1"/>
  <c r="Z19" i="1" l="1"/>
  <c r="Q43" i="1"/>
  <c r="W17" i="1" l="1"/>
  <c r="W16" i="1"/>
  <c r="W15" i="1"/>
  <c r="W14" i="1"/>
  <c r="W13" i="1"/>
  <c r="W12" i="1"/>
  <c r="W10" i="1"/>
  <c r="W9" i="1"/>
  <c r="W8" i="1"/>
  <c r="W7" i="1"/>
  <c r="W19" i="1" l="1"/>
  <c r="X18" i="1" s="1"/>
  <c r="AS41" i="1"/>
  <c r="AS42" i="1" l="1"/>
  <c r="AS48" i="1" l="1"/>
  <c r="AS51" i="1" l="1"/>
  <c r="O43" i="1"/>
  <c r="P41" i="1" s="1"/>
  <c r="AT50" i="1" l="1"/>
  <c r="AT51" i="1"/>
  <c r="AT48" i="1"/>
  <c r="AT49" i="1"/>
  <c r="L6" i="1"/>
  <c r="L7" i="1"/>
  <c r="L8" i="1"/>
  <c r="L9" i="1"/>
  <c r="L10" i="1"/>
  <c r="L11" i="1"/>
  <c r="L12" i="1"/>
  <c r="L13" i="1"/>
  <c r="L14" i="1"/>
  <c r="L15" i="1"/>
  <c r="L16" i="1"/>
  <c r="L17" i="1"/>
  <c r="K6" i="1"/>
  <c r="K7" i="1"/>
  <c r="K8" i="1"/>
  <c r="K9" i="1"/>
  <c r="K10" i="1"/>
  <c r="K11" i="1"/>
  <c r="K12" i="1"/>
  <c r="K13" i="1"/>
  <c r="K14" i="1"/>
  <c r="K15" i="1"/>
  <c r="K16" i="1"/>
  <c r="K17" i="1"/>
  <c r="F43" i="1" l="1"/>
  <c r="G41" i="1" s="1"/>
  <c r="M18" i="1" l="1"/>
  <c r="M13" i="1"/>
  <c r="M17" i="1"/>
  <c r="M11" i="1"/>
  <c r="M14" i="1"/>
  <c r="M15" i="1"/>
  <c r="M16" i="1"/>
  <c r="M10" i="1"/>
  <c r="M7" i="1"/>
  <c r="M8" i="1"/>
  <c r="M9" i="1"/>
  <c r="M12" i="1"/>
  <c r="M6" i="1"/>
  <c r="V15" i="1"/>
  <c r="J15" i="1"/>
  <c r="D7" i="1"/>
  <c r="J14" i="1" l="1"/>
  <c r="J16" i="1"/>
  <c r="D14" i="1"/>
  <c r="D6" i="1"/>
  <c r="D13" i="1"/>
  <c r="D12" i="1"/>
  <c r="D11" i="1"/>
  <c r="D17" i="1"/>
  <c r="D10" i="1"/>
  <c r="D16" i="1"/>
  <c r="D8" i="1"/>
  <c r="D9" i="1"/>
  <c r="D15" i="1"/>
  <c r="V16" i="1"/>
  <c r="V14" i="1"/>
  <c r="V13" i="1"/>
  <c r="AR57" i="1"/>
  <c r="AR59" i="1"/>
  <c r="AR48" i="1"/>
  <c r="AS27" i="1"/>
  <c r="AS31" i="1"/>
  <c r="AS34" i="1"/>
  <c r="AS35" i="1"/>
  <c r="AS36" i="1"/>
  <c r="AS37" i="1"/>
  <c r="AS24" i="1"/>
  <c r="AR60" i="1" l="1"/>
  <c r="AS38" i="1"/>
  <c r="E43" i="1" l="1"/>
  <c r="H43" i="1"/>
  <c r="K43" i="1"/>
  <c r="N43" i="1"/>
  <c r="T43" i="1"/>
  <c r="Z43" i="1"/>
  <c r="AF43" i="1"/>
  <c r="AI43" i="1"/>
  <c r="AL43" i="1"/>
  <c r="AM43" i="1"/>
  <c r="AK42" i="1" l="1"/>
  <c r="AS30" i="1" l="1"/>
  <c r="AS40" i="1"/>
  <c r="X60" i="1"/>
  <c r="Y56" i="1" s="1"/>
  <c r="Y41" i="1" l="1"/>
  <c r="AS39" i="1"/>
  <c r="Y36" i="1" l="1"/>
  <c r="Y42" i="1"/>
  <c r="G42" i="1"/>
  <c r="AS28" i="1"/>
  <c r="AS33" i="1"/>
  <c r="I43" i="1"/>
  <c r="J41" i="1" s="1"/>
  <c r="C43" i="1"/>
  <c r="P42" i="1" l="1"/>
  <c r="P26" i="1"/>
  <c r="AS26" i="1"/>
  <c r="P29" i="1"/>
  <c r="P37" i="1"/>
  <c r="P30" i="1"/>
  <c r="P38" i="1"/>
  <c r="P31" i="1"/>
  <c r="P39" i="1"/>
  <c r="P27" i="1"/>
  <c r="P36" i="1"/>
  <c r="P32" i="1"/>
  <c r="P40" i="1"/>
  <c r="P34" i="1"/>
  <c r="P24" i="1"/>
  <c r="P25" i="1"/>
  <c r="P33" i="1"/>
  <c r="P35" i="1"/>
  <c r="P28" i="1"/>
  <c r="R43" i="1"/>
  <c r="S41" i="1" s="1"/>
  <c r="AS32" i="1" l="1"/>
  <c r="V41" i="1"/>
  <c r="J42" i="1"/>
  <c r="D42" i="1"/>
  <c r="M42" i="1"/>
  <c r="M26" i="1"/>
  <c r="AS25" i="1"/>
  <c r="M25" i="1"/>
  <c r="M31" i="1"/>
  <c r="M38" i="1"/>
  <c r="M30" i="1"/>
  <c r="M37" i="1"/>
  <c r="M36" i="1"/>
  <c r="M28" i="1"/>
  <c r="M27" i="1"/>
  <c r="M35" i="1"/>
  <c r="M24" i="1"/>
  <c r="M34" i="1"/>
  <c r="M32" i="1"/>
  <c r="M29" i="1"/>
  <c r="M40" i="1"/>
  <c r="M39" i="1"/>
  <c r="M33" i="1"/>
  <c r="AS60" i="1"/>
  <c r="AS43" i="1" l="1"/>
  <c r="S42" i="1"/>
  <c r="V42" i="1"/>
  <c r="V29" i="1"/>
  <c r="V34" i="1"/>
  <c r="V24" i="1"/>
  <c r="V35" i="1"/>
  <c r="V25" i="1"/>
  <c r="V36" i="1"/>
  <c r="V26" i="1"/>
  <c r="V40" i="1"/>
  <c r="V28" i="1"/>
  <c r="V33" i="1"/>
  <c r="V27" i="1"/>
  <c r="V39" i="1"/>
  <c r="V31" i="1"/>
  <c r="V38" i="1"/>
  <c r="V37" i="1"/>
  <c r="V30" i="1"/>
  <c r="V32" i="1"/>
  <c r="AL60" i="1" l="1"/>
  <c r="AM60" i="1"/>
  <c r="AL51" i="1"/>
  <c r="AM51" i="1"/>
  <c r="AN49" i="1" s="1"/>
  <c r="AN51" i="1" s="1"/>
  <c r="AN28" i="1"/>
  <c r="AN57" i="1" l="1"/>
  <c r="AN58" i="1"/>
  <c r="AN59" i="1"/>
  <c r="AN56" i="1"/>
  <c r="AN43" i="1"/>
  <c r="AH38" i="1"/>
  <c r="AN60" i="1" l="1"/>
  <c r="P16" i="1"/>
  <c r="S15" i="1" l="1"/>
  <c r="S16" i="1"/>
  <c r="AJ60" i="1"/>
  <c r="AI60" i="1"/>
  <c r="AJ51" i="1"/>
  <c r="AK48" i="1" s="1"/>
  <c r="AI51" i="1"/>
  <c r="AK28" i="1"/>
  <c r="P15" i="1"/>
  <c r="AK57" i="1" l="1"/>
  <c r="AK58" i="1"/>
  <c r="AK59" i="1"/>
  <c r="AK56" i="1"/>
  <c r="AK39" i="1"/>
  <c r="AK35" i="1"/>
  <c r="AK34" i="1"/>
  <c r="AK26" i="1"/>
  <c r="AK24" i="1"/>
  <c r="AK37" i="1"/>
  <c r="AK33" i="1"/>
  <c r="AK29" i="1"/>
  <c r="AK25" i="1"/>
  <c r="AK31" i="1"/>
  <c r="AK27" i="1"/>
  <c r="AK38" i="1"/>
  <c r="AK30" i="1"/>
  <c r="AK40" i="1"/>
  <c r="AK36" i="1"/>
  <c r="AK32" i="1"/>
  <c r="V7" i="1"/>
  <c r="AK60" i="1" l="1"/>
  <c r="AK43" i="1"/>
  <c r="V12" i="1"/>
  <c r="V6" i="1"/>
  <c r="V10" i="1"/>
  <c r="V5" i="1"/>
  <c r="V9" i="1"/>
  <c r="V11" i="1"/>
  <c r="V8" i="1"/>
  <c r="V19" i="1" l="1"/>
  <c r="S11" i="1"/>
  <c r="S10" i="1"/>
  <c r="S17" i="1"/>
  <c r="S7" i="1"/>
  <c r="S6" i="1"/>
  <c r="S12" i="1"/>
  <c r="S5" i="1"/>
  <c r="S9" i="1"/>
  <c r="S8" i="1"/>
  <c r="S14" i="1"/>
  <c r="S13" i="1"/>
  <c r="P11" i="1"/>
  <c r="P10" i="1"/>
  <c r="P9" i="1"/>
  <c r="P7" i="1"/>
  <c r="P17" i="1"/>
  <c r="P8" i="1"/>
  <c r="P14" i="1"/>
  <c r="P13" i="1"/>
  <c r="P6" i="1"/>
  <c r="P12" i="1"/>
  <c r="P5" i="1"/>
  <c r="AG60" i="1"/>
  <c r="AF60" i="1"/>
  <c r="AG51" i="1"/>
  <c r="AF51" i="1"/>
  <c r="AH39" i="1"/>
  <c r="S19" i="1" l="1"/>
  <c r="P19" i="1"/>
  <c r="AH57" i="1"/>
  <c r="AH58" i="1"/>
  <c r="AH59" i="1"/>
  <c r="AH56" i="1"/>
  <c r="AH43" i="1"/>
  <c r="AH49" i="1"/>
  <c r="AH48" i="1"/>
  <c r="AH60" i="1" l="1"/>
  <c r="AH51" i="1"/>
  <c r="X10" i="1" l="1"/>
  <c r="X15" i="1"/>
  <c r="X14" i="1"/>
  <c r="X16" i="1"/>
  <c r="AA60" i="1" l="1"/>
  <c r="Z60" i="1"/>
  <c r="AB48" i="1"/>
  <c r="AB51" i="1" s="1"/>
  <c r="Z51" i="1"/>
  <c r="AB57" i="1" l="1"/>
  <c r="AB58" i="1"/>
  <c r="AB59" i="1"/>
  <c r="AB56" i="1"/>
  <c r="AB37" i="1"/>
  <c r="AB24" i="1"/>
  <c r="AB43" i="1" l="1"/>
  <c r="U60" i="1"/>
  <c r="T60" i="1"/>
  <c r="V56" i="1" l="1"/>
  <c r="AR51" i="1" l="1"/>
  <c r="X6" i="1" l="1"/>
  <c r="X13" i="1"/>
  <c r="X7" i="1"/>
  <c r="X8" i="1"/>
  <c r="X9" i="1"/>
  <c r="X11" i="1"/>
  <c r="X5" i="1"/>
  <c r="X12" i="1"/>
  <c r="X17" i="1"/>
  <c r="X19" i="1" l="1"/>
  <c r="M5" i="1"/>
  <c r="M19" i="1" s="1"/>
  <c r="AT41" i="1" l="1"/>
  <c r="J24" i="1"/>
  <c r="S34" i="1"/>
  <c r="S29" i="1"/>
  <c r="S33" i="1"/>
  <c r="S27" i="1"/>
  <c r="S35" i="1"/>
  <c r="S39" i="1"/>
  <c r="S28" i="1"/>
  <c r="S36" i="1"/>
  <c r="S30" i="1"/>
  <c r="S24" i="1"/>
  <c r="S32" i="1"/>
  <c r="S40" i="1"/>
  <c r="S25" i="1"/>
  <c r="S38" i="1"/>
  <c r="S31" i="1"/>
  <c r="S26" i="1"/>
  <c r="S37" i="1"/>
  <c r="AT42" i="1" l="1"/>
  <c r="AT29" i="1"/>
  <c r="S43" i="1"/>
  <c r="AT24" i="1"/>
  <c r="J26" i="1"/>
  <c r="J34" i="1"/>
  <c r="J36" i="1"/>
  <c r="J32" i="1"/>
  <c r="J25" i="1"/>
  <c r="J27" i="1"/>
  <c r="J40" i="1"/>
  <c r="J38" i="1"/>
  <c r="J39" i="1"/>
  <c r="J35" i="1"/>
  <c r="J37" i="1"/>
  <c r="J31" i="1"/>
  <c r="J33" i="1"/>
  <c r="J30" i="1"/>
  <c r="J28" i="1"/>
  <c r="J29" i="1"/>
  <c r="J43" i="1" l="1"/>
  <c r="AT40" i="1"/>
  <c r="AT33" i="1"/>
  <c r="AT37" i="1"/>
  <c r="AT34" i="1"/>
  <c r="AT39" i="1"/>
  <c r="AT31" i="1"/>
  <c r="AT36" i="1"/>
  <c r="AT28" i="1"/>
  <c r="AT35" i="1"/>
  <c r="AT38" i="1"/>
  <c r="AT27" i="1"/>
  <c r="AT25" i="1"/>
  <c r="AT32" i="1"/>
  <c r="AT26" i="1"/>
  <c r="AT30" i="1"/>
  <c r="AT43" i="1" l="1"/>
  <c r="AD60" i="1" l="1"/>
  <c r="AC60" i="1"/>
  <c r="AD51" i="1"/>
  <c r="AE49" i="1" s="1"/>
  <c r="AE51" i="1" s="1"/>
  <c r="AE56" i="1" l="1"/>
  <c r="AE57" i="1"/>
  <c r="AE59" i="1"/>
  <c r="AE58" i="1"/>
  <c r="AT56" i="1"/>
  <c r="AE60" i="1" l="1"/>
  <c r="AE29" i="1"/>
  <c r="AE43" i="1" s="1"/>
  <c r="B51" i="1" l="1"/>
  <c r="C51" i="1"/>
  <c r="Y58" i="1" l="1"/>
  <c r="W60" i="1"/>
  <c r="N60" i="1"/>
  <c r="K60" i="1"/>
  <c r="H60" i="1"/>
  <c r="F60" i="1"/>
  <c r="G59" i="1" s="1"/>
  <c r="E60" i="1"/>
  <c r="C60" i="1"/>
  <c r="B60" i="1"/>
  <c r="S56" i="1"/>
  <c r="W51" i="1"/>
  <c r="R51" i="1"/>
  <c r="S48" i="1" s="1"/>
  <c r="Q51" i="1"/>
  <c r="N51" i="1"/>
  <c r="K51" i="1"/>
  <c r="H51" i="1"/>
  <c r="F51" i="1"/>
  <c r="G49" i="1" s="1"/>
  <c r="E51" i="1"/>
  <c r="D49" i="1"/>
  <c r="I51" i="1"/>
  <c r="D26" i="1" l="1"/>
  <c r="D34" i="1"/>
  <c r="D27" i="1"/>
  <c r="D35" i="1"/>
  <c r="D36" i="1"/>
  <c r="D29" i="1"/>
  <c r="D37" i="1"/>
  <c r="D30" i="1"/>
  <c r="D38" i="1"/>
  <c r="D31" i="1"/>
  <c r="D39" i="1"/>
  <c r="D40" i="1"/>
  <c r="D25" i="1"/>
  <c r="D33" i="1"/>
  <c r="D24" i="1"/>
  <c r="D32" i="1"/>
  <c r="D28" i="1"/>
  <c r="G25" i="1"/>
  <c r="G33" i="1"/>
  <c r="G24" i="1"/>
  <c r="G26" i="1"/>
  <c r="G34" i="1"/>
  <c r="G27" i="1"/>
  <c r="G35" i="1"/>
  <c r="G36" i="1"/>
  <c r="G29" i="1"/>
  <c r="G37" i="1"/>
  <c r="G30" i="1"/>
  <c r="G31" i="1"/>
  <c r="G39" i="1"/>
  <c r="G32" i="1"/>
  <c r="G40" i="1"/>
  <c r="G38" i="1"/>
  <c r="G28" i="1"/>
  <c r="V49" i="1"/>
  <c r="S49" i="1"/>
  <c r="S51" i="1" s="1"/>
  <c r="V59" i="1"/>
  <c r="V58" i="1"/>
  <c r="D48" i="1"/>
  <c r="D51" i="1" s="1"/>
  <c r="V57" i="1"/>
  <c r="G57" i="1"/>
  <c r="G58" i="1"/>
  <c r="V48" i="1"/>
  <c r="J49" i="1"/>
  <c r="G48" i="1"/>
  <c r="G51" i="1" s="1"/>
  <c r="O60" i="1"/>
  <c r="P56" i="1" s="1"/>
  <c r="L60" i="1"/>
  <c r="M57" i="1" s="1"/>
  <c r="G56" i="1"/>
  <c r="S57" i="1"/>
  <c r="D58" i="1"/>
  <c r="D56" i="1"/>
  <c r="X51" i="1"/>
  <c r="Y49" i="1" s="1"/>
  <c r="D59" i="1"/>
  <c r="L51" i="1"/>
  <c r="M48" i="1" s="1"/>
  <c r="I60" i="1"/>
  <c r="O51" i="1"/>
  <c r="P48" i="1" s="1"/>
  <c r="D57" i="1"/>
  <c r="Y57" i="1"/>
  <c r="S58" i="1"/>
  <c r="Y59" i="1"/>
  <c r="J48" i="1"/>
  <c r="S59" i="1"/>
  <c r="D60" i="1" l="1"/>
  <c r="D43" i="1"/>
  <c r="G43" i="1"/>
  <c r="V43" i="1"/>
  <c r="Y37" i="1"/>
  <c r="Y39" i="1"/>
  <c r="Y40" i="1"/>
  <c r="Y30" i="1"/>
  <c r="Y38" i="1"/>
  <c r="Y32" i="1"/>
  <c r="Y34" i="1"/>
  <c r="Y35" i="1"/>
  <c r="Y25" i="1"/>
  <c r="Y33" i="1"/>
  <c r="Y24" i="1"/>
  <c r="Y26" i="1"/>
  <c r="Y27" i="1"/>
  <c r="Y28" i="1"/>
  <c r="Y31" i="1"/>
  <c r="Y29" i="1"/>
  <c r="V51" i="1"/>
  <c r="J56" i="1"/>
  <c r="J59" i="1"/>
  <c r="J51" i="1"/>
  <c r="V60" i="1"/>
  <c r="G60" i="1"/>
  <c r="M56" i="1"/>
  <c r="P58" i="1"/>
  <c r="P57" i="1"/>
  <c r="M59" i="1"/>
  <c r="M58" i="1"/>
  <c r="M49" i="1"/>
  <c r="M51" i="1" s="1"/>
  <c r="P59" i="1"/>
  <c r="S60" i="1"/>
  <c r="Y48" i="1"/>
  <c r="Y51" i="1" s="1"/>
  <c r="Y60" i="1"/>
  <c r="P50" i="1"/>
  <c r="P49" i="1"/>
  <c r="J57" i="1"/>
  <c r="J58" i="1"/>
  <c r="M43" i="1" l="1"/>
  <c r="P43" i="1"/>
  <c r="Y43" i="1"/>
  <c r="M60" i="1"/>
  <c r="P60" i="1"/>
  <c r="P51" i="1"/>
  <c r="AT58" i="1"/>
  <c r="AT59" i="1"/>
  <c r="AT57" i="1"/>
  <c r="J60" i="1"/>
  <c r="AT60" i="1" l="1"/>
  <c r="J9" i="1" l="1"/>
  <c r="J17" i="1"/>
  <c r="J11" i="1"/>
  <c r="J7" i="1"/>
  <c r="J5" i="1"/>
  <c r="J6" i="1"/>
  <c r="J13" i="1"/>
  <c r="J10" i="1"/>
  <c r="J8" i="1"/>
  <c r="J12" i="1"/>
  <c r="J19" i="1" l="1"/>
  <c r="D5" i="1"/>
  <c r="D19" i="1" s="1"/>
  <c r="G16" i="1" l="1"/>
  <c r="G9" i="1" l="1"/>
  <c r="G13" i="1"/>
  <c r="G6" i="1"/>
  <c r="G17" i="1"/>
  <c r="G11" i="1"/>
  <c r="G10" i="1"/>
  <c r="G5" i="1"/>
  <c r="G15" i="1"/>
  <c r="G12" i="1"/>
  <c r="G8" i="1"/>
  <c r="G14" i="1"/>
  <c r="G19" i="1" l="1"/>
  <c r="AB60" i="1"/>
</calcChain>
</file>

<file path=xl/sharedStrings.xml><?xml version="1.0" encoding="utf-8"?>
<sst xmlns="http://schemas.openxmlformats.org/spreadsheetml/2006/main" count="536" uniqueCount="166">
  <si>
    <t>Проекты одобренные Фондом</t>
  </si>
  <si>
    <t>Доля (%) по сумме</t>
  </si>
  <si>
    <t>Кол-во проектов</t>
  </si>
  <si>
    <t>итого:</t>
  </si>
  <si>
    <t>регион</t>
  </si>
  <si>
    <t>Доля по сумме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</si>
  <si>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</si>
  <si>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</si>
  <si>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</si>
  <si>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</si>
  <si>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направления</t>
  </si>
  <si>
    <t>размер бизнеса</t>
  </si>
  <si>
    <t>Производство в АПК (МСХ)</t>
  </si>
  <si>
    <t>АО "Народный Банк Казахстана"</t>
  </si>
  <si>
    <t>АО "Fortebank"</t>
  </si>
  <si>
    <t>АО "Bank RBK"</t>
  </si>
  <si>
    <t>Сумма кредита, млн. тенге</t>
  </si>
  <si>
    <t>АО "Народный банк Казахстана"</t>
  </si>
  <si>
    <t>АО «First Heartland Jýsan Bank»</t>
  </si>
  <si>
    <t>АО "Евразийский Банк"</t>
  </si>
  <si>
    <t xml:space="preserve">Банк </t>
  </si>
  <si>
    <t>Сумма кредита, млн,тенге</t>
  </si>
  <si>
    <t>Сумма субсидий, млн,тенге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</si>
  <si>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</si>
  <si>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</si>
  <si>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</si>
  <si>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РФ по Акмолинской области</t>
  </si>
  <si>
    <t>РФ по Актюбинской области</t>
  </si>
  <si>
    <t>РФ по Алматинской области</t>
  </si>
  <si>
    <t>РФ по Атырауской области</t>
  </si>
  <si>
    <t>РФ по Восточно-Казахстанской области</t>
  </si>
  <si>
    <t>РФ по г. Алматы</t>
  </si>
  <si>
    <t>РФ по г. Шымкент</t>
  </si>
  <si>
    <t>РФ по Жамбылской области</t>
  </si>
  <si>
    <t>РФ по Западно-Казахстанской области</t>
  </si>
  <si>
    <t>РФ по Карагандинской области</t>
  </si>
  <si>
    <t>РФ по Костанайской области</t>
  </si>
  <si>
    <t>РФ по Кызылординской области</t>
  </si>
  <si>
    <t>РФ по Мангистауской области</t>
  </si>
  <si>
    <t>РФ по Павлодарской области</t>
  </si>
  <si>
    <t>РФ по Северо-Казахстанской области</t>
  </si>
  <si>
    <t>РФ по Туркестанской области</t>
  </si>
  <si>
    <t>Обработка и услуги</t>
  </si>
  <si>
    <t>Переработка АПК</t>
  </si>
  <si>
    <t>Крупный</t>
  </si>
  <si>
    <t>АО "Банк "Bank RBK"</t>
  </si>
  <si>
    <t>АО "Банк Центр Кредит"</t>
  </si>
  <si>
    <t>АО "Евразийский банк"</t>
  </si>
  <si>
    <t>АО «ForteBank»</t>
  </si>
  <si>
    <t>АО "Altyn Bank" (ДБ China CITIC Bank Corporation Limited)</t>
  </si>
  <si>
    <t xml:space="preserve"> </t>
  </si>
  <si>
    <t xml:space="preserve">Принятые заявки в БВУ </t>
  </si>
  <si>
    <t xml:space="preserve">Одобренные заявки в БВУ </t>
  </si>
  <si>
    <t xml:space="preserve">Подписанные заявки в БВУ </t>
  </si>
  <si>
    <t>ДО АО "Банк ВТБ (Казахстан)"</t>
  </si>
  <si>
    <t>АО First Heartland Jusan bank</t>
  </si>
  <si>
    <t>ФОНД РАЗВИТИЯ ПРОМЫШЛЕННОСТИ</t>
  </si>
  <si>
    <t>ТОО "ТехноЛизинг"</t>
  </si>
  <si>
    <t>ТОО "ЭКСПЕРТ ЛИЗИНГ"</t>
  </si>
  <si>
    <t>Проекты не подписанные с истекшим сроком выписки УО Фонда</t>
  </si>
  <si>
    <t>РФ по г. Астана</t>
  </si>
  <si>
    <t>РФ по области Абай</t>
  </si>
  <si>
    <t>Малый</t>
  </si>
  <si>
    <t>Микро</t>
  </si>
  <si>
    <t>Средний</t>
  </si>
  <si>
    <t>Итого:</t>
  </si>
  <si>
    <t>ФОНД РАЗВИТИЯ ПРОМЫШЛЕННОСТИ (подписан до 01.07.2022 г.)</t>
  </si>
  <si>
    <t>РФ по области Жетiсу</t>
  </si>
  <si>
    <t>Выплачено субсидий в том числе за 2023 год</t>
  </si>
  <si>
    <t>ТОО ЛК «Нур Лизинг»</t>
  </si>
  <si>
    <t>ТОО «Нур Лизинг»</t>
  </si>
  <si>
    <t xml:space="preserve">АО «Bereke Bank» </t>
  </si>
  <si>
    <t>АО «Bereke Bank»</t>
  </si>
  <si>
    <t>барлығы:</t>
  </si>
  <si>
    <t>Орташа</t>
  </si>
  <si>
    <t>Шағын</t>
  </si>
  <si>
    <t>Ірі</t>
  </si>
  <si>
    <t>Үлес сомасы</t>
  </si>
  <si>
    <t>Несие сомасы млн.теңге</t>
  </si>
  <si>
    <t>Жоба саны</t>
  </si>
  <si>
    <t>Несие сомасы млн.теңгее</t>
  </si>
  <si>
    <t>БАРЛЫҒЫ</t>
  </si>
  <si>
    <t xml:space="preserve"> «Нур Лизинг» жшс</t>
  </si>
  <si>
    <t xml:space="preserve"> "ЭКСПЕРТ ЛИЗИНГ" ЖШС </t>
  </si>
  <si>
    <t xml:space="preserve"> "ТехноЛизинг" ЖШС </t>
  </si>
  <si>
    <t>ӨНЕРКӘСІПТІ ДАМЫТУ ҚОРЫ</t>
  </si>
  <si>
    <t>"Altyn Bank"  АҚ ( China CITIC Bank Corporation Limited ЕБ)</t>
  </si>
  <si>
    <t xml:space="preserve"> "Банк ВТБ (Казахстан)" ЕБ АҚ</t>
  </si>
  <si>
    <t xml:space="preserve"> "Евразийский Банк" АҚ</t>
  </si>
  <si>
    <t>«First Heartland Jýsan Bank» АҚ</t>
  </si>
  <si>
    <t>"Fortebank" АҚ</t>
  </si>
  <si>
    <t xml:space="preserve"> "Bank RBK" АҚ</t>
  </si>
  <si>
    <t>"Қазақстан Халық Банкі" АҚ</t>
  </si>
  <si>
    <t xml:space="preserve"> "Нұрбанк" АҚ</t>
  </si>
  <si>
    <t xml:space="preserve"> "Банк ЦентрКредит" АҚ</t>
  </si>
  <si>
    <t xml:space="preserve"> «Bereke Bank»  АҚ</t>
  </si>
  <si>
    <t>Бизнес өлшемі</t>
  </si>
  <si>
    <t>Бизнес көлемі бойынша қол қойылған Жобалар туралы ақпарат:</t>
  </si>
  <si>
    <t>АӨК  (АШМ) өндірісі</t>
  </si>
  <si>
    <t xml:space="preserve"> АӨК қайта өңдеу</t>
  </si>
  <si>
    <t>Өңдеу және қызметтер</t>
  </si>
  <si>
    <t>Несие сомасы млн. теңге</t>
  </si>
  <si>
    <t xml:space="preserve"> «Нур Лизинг» ЖШС</t>
  </si>
  <si>
    <t xml:space="preserve"> "ЭКСПЕРТ ЛИЗИНГ" ЖШС</t>
  </si>
  <si>
    <t xml:space="preserve"> "ТехноЛизинг" ЖШС</t>
  </si>
  <si>
    <t>"Евразийский Банк" АҚ</t>
  </si>
  <si>
    <t xml:space="preserve"> «First Heartland Jýsan Bank» АҚ</t>
  </si>
  <si>
    <t>"Bank RBK" АҚ</t>
  </si>
  <si>
    <t xml:space="preserve"> «Bereke Bank» АҚ</t>
  </si>
  <si>
    <t>Бағыты</t>
  </si>
  <si>
    <t>Сала бойынша қол қойылған Жобалар туралы ақпарат:</t>
  </si>
  <si>
    <t>Абай облысы АФ</t>
  </si>
  <si>
    <t>Жетiсу облысы АФ</t>
  </si>
  <si>
    <t>Түркістан облысы АФ</t>
  </si>
  <si>
    <t>Солтүстік Қазақстан облысы АФ</t>
  </si>
  <si>
    <t>Павлодар облысы АФ</t>
  </si>
  <si>
    <t>Маңғыстау облысы АФ</t>
  </si>
  <si>
    <t>Қызылорда облысы АФ</t>
  </si>
  <si>
    <t>Қостанай облысы</t>
  </si>
  <si>
    <t>Қарағанды облысы АФ</t>
  </si>
  <si>
    <t>Батыс Қазақстан облысы АФ</t>
  </si>
  <si>
    <t>Жамбыл облысы АФ</t>
  </si>
  <si>
    <t>Шымкент қаласы АФ</t>
  </si>
  <si>
    <t>Астана қаласы АФ</t>
  </si>
  <si>
    <t>Алматы қаласы АФ</t>
  </si>
  <si>
    <t>Шығыс-Қазақстан облыстық АФ</t>
  </si>
  <si>
    <t>Атырау облыстық АФ</t>
  </si>
  <si>
    <t>Алматы облыстық АФ</t>
  </si>
  <si>
    <t>Ақтөбе облыстық АФ</t>
  </si>
  <si>
    <t>Ақмола облыстық АФ</t>
  </si>
  <si>
    <t>Несие сомасы млн.тТеңге</t>
  </si>
  <si>
    <t>Жобалар саны</t>
  </si>
  <si>
    <t xml:space="preserve">БАРЛЫҒЫ </t>
  </si>
  <si>
    <t>ӨНЕРКӘСІПТІ ДАМЫТУ ҚОРЫ (01.07.2022 ж. дейін қол қойылған)</t>
  </si>
  <si>
    <t xml:space="preserve"> "Fortebank" АҚ</t>
  </si>
  <si>
    <t>Аймақ</t>
  </si>
  <si>
    <t xml:space="preserve"> Аймақтар бойынша қол қойылған жобалар туралы ақпарат:</t>
  </si>
  <si>
    <t>Барлығы:</t>
  </si>
  <si>
    <t xml:space="preserve"> ЛК «Нур Лизинг» ЖШС</t>
  </si>
  <si>
    <t>"Altyn Bank" (ДБ China CITIC Bank Corporation Limited) АҚ</t>
  </si>
  <si>
    <t>"ЭКСПЕРТ ЛИЗИНГ" ЖШС</t>
  </si>
  <si>
    <t>"Евразийский банк" АҚ</t>
  </si>
  <si>
    <t xml:space="preserve"> «ForteBank» АҚ</t>
  </si>
  <si>
    <t xml:space="preserve"> "Банк "Bank RBK" АҚ</t>
  </si>
  <si>
    <t xml:space="preserve"> "Банк Центр Кредит" АҚ</t>
  </si>
  <si>
    <t xml:space="preserve"> First Heartland Jusan bank АҚ</t>
  </si>
  <si>
    <t xml:space="preserve"> "Қазақстан Халық Банкі" АҚ</t>
  </si>
  <si>
    <t>Үлестің (%)сомасы</t>
  </si>
  <si>
    <t>Несие сомасы млн. Теңге</t>
  </si>
  <si>
    <t>Үлестің (%) сомасы</t>
  </si>
  <si>
    <t xml:space="preserve">Үлестің (%) сомасы </t>
  </si>
  <si>
    <t xml:space="preserve"> 2023 жылды қоса алғанда төленген субсидиялар</t>
  </si>
  <si>
    <t>Төленген субсидиялар</t>
  </si>
  <si>
    <t>Қор мақұлдаған  (бірақ қол қойылмаған) Жобалар</t>
  </si>
  <si>
    <t xml:space="preserve">Қордың УО мерзімі өткен жазбасымен қол қойылмаған Жобалар </t>
  </si>
  <si>
    <t>Қол қойылған жобалар</t>
  </si>
  <si>
    <t>Қор мақұлдаған өтінімдер</t>
  </si>
  <si>
    <t>ЕДБ қол қойған өтінімдер</t>
  </si>
  <si>
    <t>ЕДБ мақұлдаған өтінімдер</t>
  </si>
  <si>
    <t>ЕДБ-ға қабылданған өтінімдер</t>
  </si>
  <si>
    <t>ЕДБ бойынша жобалар туралы ақпарат:</t>
  </si>
  <si>
    <t>Проекты подписанные Фондом</t>
  </si>
  <si>
    <t>Проекты одобренные (не подписанные) Фондом</t>
  </si>
  <si>
    <t>Выплачено субсидий Фондом  за весь период</t>
  </si>
  <si>
    <t>с 01/01/2019г. по 23/06/2023г.</t>
  </si>
  <si>
    <t xml:space="preserve"> 01/01/2019ж. 23/06/2023ж. аралығы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</si>
</sst>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\ _₽_-;\-* #,##0\ _₽_-;_-* &quot;-&quot;??\ _₽_-;_-@_-"/>
    <numFmt numFmtId="168" formatCode="#,##0,,"/>
    <numFmt numFmtId="169" formatCode="#,##0,"/>
    <numFmt numFmtId="170" formatCode="#,##0.00,,"/>
    <numFmt numFmtId="171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9" fontId="2" fillId="2" borderId="4" xfId="2" applyFont="1" applyFill="1" applyBorder="1" applyAlignment="1">
      <alignment horizontal="center" vertical="center" wrapText="1"/>
    </xf>
    <xf numFmtId="9" fontId="2" fillId="2" borderId="16" xfId="2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9" fontId="4" fillId="2" borderId="2" xfId="2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9" fontId="4" fillId="2" borderId="22" xfId="2" applyFont="1" applyFill="1" applyBorder="1" applyAlignment="1">
      <alignment horizontal="center" vertical="center" wrapText="1"/>
    </xf>
    <xf numFmtId="9" fontId="2" fillId="2" borderId="21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2" borderId="15" xfId="2" applyFont="1" applyFill="1" applyBorder="1" applyAlignment="1">
      <alignment horizontal="center" vertical="center" wrapText="1"/>
    </xf>
    <xf numFmtId="3" fontId="4" fillId="2" borderId="22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3" fontId="2" fillId="2" borderId="8" xfId="2" applyNumberFormat="1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68" fontId="4" fillId="2" borderId="15" xfId="1" applyNumberFormat="1" applyFont="1" applyFill="1" applyBorder="1" applyAlignment="1">
      <alignment horizontal="center" vertical="center" wrapText="1"/>
    </xf>
    <xf numFmtId="168" fontId="2" fillId="2" borderId="25" xfId="1" applyNumberFormat="1" applyFont="1" applyFill="1" applyBorder="1" applyAlignment="1">
      <alignment horizontal="center" vertical="center" wrapText="1"/>
    </xf>
    <xf numFmtId="168" fontId="4" fillId="2" borderId="2" xfId="1" applyNumberFormat="1" applyFont="1" applyFill="1" applyBorder="1" applyAlignment="1">
      <alignment horizontal="center" vertical="center" wrapText="1"/>
    </xf>
    <xf numFmtId="168" fontId="2" fillId="2" borderId="10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4" fillId="2" borderId="46" xfId="1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3" fontId="2" fillId="2" borderId="3" xfId="2" applyNumberFormat="1" applyFont="1" applyFill="1" applyBorder="1" applyAlignment="1">
      <alignment horizontal="center" vertical="center" wrapText="1"/>
    </xf>
    <xf numFmtId="9" fontId="2" fillId="2" borderId="37" xfId="2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8" fontId="0" fillId="2" borderId="0" xfId="0" applyNumberFormat="1" applyFill="1" applyAlignment="1">
      <alignment vertical="center" wrapText="1"/>
    </xf>
    <xf numFmtId="168" fontId="2" fillId="2" borderId="0" xfId="0" applyNumberFormat="1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164" fontId="2" fillId="2" borderId="20" xfId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9" fontId="2" fillId="2" borderId="3" xfId="2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166" fontId="2" fillId="2" borderId="20" xfId="1" applyNumberFormat="1" applyFont="1" applyFill="1" applyBorder="1" applyAlignment="1">
      <alignment horizontal="center" vertical="center" wrapText="1"/>
    </xf>
    <xf numFmtId="9" fontId="2" fillId="2" borderId="39" xfId="2" applyFont="1" applyFill="1" applyBorder="1" applyAlignment="1">
      <alignment horizontal="center" vertical="center" wrapText="1"/>
    </xf>
    <xf numFmtId="9" fontId="2" fillId="2" borderId="9" xfId="2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65" fontId="0" fillId="2" borderId="0" xfId="0" applyNumberFormat="1" applyFill="1" applyAlignment="1">
      <alignment vertical="center" wrapText="1"/>
    </xf>
    <xf numFmtId="164" fontId="0" fillId="2" borderId="0" xfId="1" applyFont="1" applyFill="1" applyAlignment="1">
      <alignment vertical="center" wrapText="1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16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2" fillId="2" borderId="50" xfId="1" applyNumberFormat="1" applyFont="1" applyFill="1" applyBorder="1" applyAlignment="1">
      <alignment horizontal="center" vertical="center" wrapText="1"/>
    </xf>
    <xf numFmtId="168" fontId="0" fillId="2" borderId="0" xfId="0" applyNumberFormat="1" applyFill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9" fontId="2" fillId="0" borderId="1" xfId="1" applyNumberFormat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9" fontId="2" fillId="0" borderId="16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168" fontId="2" fillId="0" borderId="16" xfId="1" applyNumberFormat="1" applyFont="1" applyFill="1" applyBorder="1" applyAlignment="1">
      <alignment horizontal="center" vertical="center" wrapText="1"/>
    </xf>
    <xf numFmtId="168" fontId="2" fillId="0" borderId="3" xfId="1" applyNumberFormat="1" applyFont="1" applyFill="1" applyBorder="1" applyAlignment="1">
      <alignment horizontal="center" vertical="center" wrapText="1"/>
    </xf>
    <xf numFmtId="168" fontId="2" fillId="0" borderId="25" xfId="1" applyNumberFormat="1" applyFont="1" applyFill="1" applyBorder="1" applyAlignment="1">
      <alignment horizontal="center" vertical="center" wrapText="1"/>
    </xf>
    <xf numFmtId="9" fontId="2" fillId="0" borderId="12" xfId="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vertical="center" wrapText="1"/>
    </xf>
    <xf numFmtId="9" fontId="2" fillId="0" borderId="36" xfId="2" applyFont="1" applyFill="1" applyBorder="1" applyAlignment="1">
      <alignment horizontal="center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169" fontId="2" fillId="0" borderId="9" xfId="1" applyNumberFormat="1" applyFont="1" applyFill="1" applyBorder="1" applyAlignment="1">
      <alignment horizontal="center" vertical="center" wrapText="1"/>
    </xf>
    <xf numFmtId="9" fontId="2" fillId="0" borderId="18" xfId="2" applyFont="1" applyFill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168" fontId="2" fillId="0" borderId="9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11" xfId="2" applyFont="1" applyFill="1" applyBorder="1" applyAlignment="1">
      <alignment horizontal="center" vertical="center" wrapText="1"/>
    </xf>
    <xf numFmtId="3" fontId="2" fillId="0" borderId="7" xfId="2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8" fontId="2" fillId="0" borderId="10" xfId="1" applyNumberFormat="1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0" borderId="29" xfId="1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4" xfId="2" applyNumberFormat="1" applyFont="1" applyFill="1" applyBorder="1" applyAlignment="1">
      <alignment horizontal="center" vertical="center" wrapText="1"/>
    </xf>
    <xf numFmtId="9" fontId="2" fillId="0" borderId="31" xfId="2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0" fillId="2" borderId="0" xfId="1" applyFont="1" applyFill="1" applyBorder="1" applyAlignment="1">
      <alignment vertical="center" wrapText="1"/>
    </xf>
    <xf numFmtId="164" fontId="0" fillId="2" borderId="0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3" fontId="2" fillId="2" borderId="29" xfId="2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3" fontId="2" fillId="2" borderId="48" xfId="2" applyNumberFormat="1" applyFont="1" applyFill="1" applyBorder="1" applyAlignment="1">
      <alignment horizontal="center" vertical="center" wrapText="1"/>
    </xf>
    <xf numFmtId="9" fontId="2" fillId="2" borderId="32" xfId="2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 wrapText="1"/>
    </xf>
    <xf numFmtId="3" fontId="2" fillId="0" borderId="52" xfId="2" applyNumberFormat="1" applyFont="1" applyFill="1" applyBorder="1" applyAlignment="1">
      <alignment horizontal="center" vertical="center" wrapText="1"/>
    </xf>
    <xf numFmtId="168" fontId="2" fillId="0" borderId="20" xfId="1" applyNumberFormat="1" applyFont="1" applyFill="1" applyBorder="1" applyAlignment="1">
      <alignment horizontal="center" vertical="center" wrapText="1"/>
    </xf>
    <xf numFmtId="3" fontId="4" fillId="0" borderId="22" xfId="2" applyNumberFormat="1" applyFont="1" applyFill="1" applyBorder="1" applyAlignment="1">
      <alignment horizontal="center" vertical="center" wrapText="1"/>
    </xf>
    <xf numFmtId="168" fontId="4" fillId="0" borderId="2" xfId="1" applyNumberFormat="1" applyFont="1" applyFill="1" applyBorder="1" applyAlignment="1">
      <alignment horizontal="center" vertical="center" wrapText="1"/>
    </xf>
    <xf numFmtId="9" fontId="4" fillId="2" borderId="30" xfId="2" applyFont="1" applyFill="1" applyBorder="1" applyAlignment="1">
      <alignment horizontal="center" vertical="center" wrapText="1"/>
    </xf>
    <xf numFmtId="9" fontId="4" fillId="0" borderId="35" xfId="2" applyFont="1" applyFill="1" applyBorder="1" applyAlignment="1">
      <alignment horizontal="center" vertical="center" wrapText="1"/>
    </xf>
    <xf numFmtId="9" fontId="4" fillId="2" borderId="35" xfId="2" applyFont="1" applyFill="1" applyBorder="1" applyAlignment="1">
      <alignment horizontal="center" vertical="center" wrapText="1"/>
    </xf>
    <xf numFmtId="9" fontId="2" fillId="0" borderId="7" xfId="2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9" fontId="4" fillId="2" borderId="34" xfId="2" applyFont="1" applyFill="1" applyBorder="1" applyAlignment="1">
      <alignment horizontal="center" vertical="center" wrapText="1"/>
    </xf>
    <xf numFmtId="9" fontId="2" fillId="0" borderId="53" xfId="2" applyFont="1" applyFill="1" applyBorder="1" applyAlignment="1">
      <alignment horizontal="center" vertical="center" wrapText="1"/>
    </xf>
    <xf numFmtId="168" fontId="4" fillId="2" borderId="33" xfId="1" applyNumberFormat="1" applyFont="1" applyFill="1" applyBorder="1" applyAlignment="1">
      <alignment horizontal="center" vertical="center" wrapText="1"/>
    </xf>
    <xf numFmtId="0" fontId="4" fillId="0" borderId="15" xfId="2" applyNumberFormat="1" applyFont="1" applyFill="1" applyBorder="1" applyAlignment="1">
      <alignment horizontal="center" vertical="center" wrapText="1"/>
    </xf>
    <xf numFmtId="0" fontId="2" fillId="2" borderId="48" xfId="2" applyNumberFormat="1" applyFont="1" applyFill="1" applyBorder="1" applyAlignment="1">
      <alignment horizontal="center" vertical="center" wrapText="1"/>
    </xf>
    <xf numFmtId="3" fontId="2" fillId="0" borderId="29" xfId="2" applyNumberFormat="1" applyFont="1" applyFill="1" applyBorder="1" applyAlignment="1">
      <alignment horizontal="center" vertical="center" wrapText="1"/>
    </xf>
    <xf numFmtId="9" fontId="4" fillId="2" borderId="47" xfId="2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9" fontId="2" fillId="0" borderId="21" xfId="2" applyFont="1" applyFill="1" applyBorder="1" applyAlignment="1">
      <alignment horizontal="center" vertical="center" wrapText="1"/>
    </xf>
    <xf numFmtId="168" fontId="2" fillId="2" borderId="36" xfId="1" applyNumberFormat="1" applyFont="1" applyFill="1" applyBorder="1" applyAlignment="1">
      <alignment horizontal="center" vertical="center" wrapText="1"/>
    </xf>
    <xf numFmtId="3" fontId="2" fillId="0" borderId="8" xfId="2" applyNumberFormat="1" applyFont="1" applyFill="1" applyBorder="1" applyAlignment="1">
      <alignment horizontal="center" vertical="center" wrapText="1"/>
    </xf>
    <xf numFmtId="9" fontId="2" fillId="0" borderId="49" xfId="2" applyFont="1" applyFill="1" applyBorder="1" applyAlignment="1">
      <alignment horizontal="center" vertical="center" wrapText="1"/>
    </xf>
    <xf numFmtId="3" fontId="4" fillId="2" borderId="30" xfId="2" applyNumberFormat="1" applyFont="1" applyFill="1" applyBorder="1" applyAlignment="1">
      <alignment horizontal="center" vertical="center" wrapText="1"/>
    </xf>
    <xf numFmtId="3" fontId="4" fillId="2" borderId="15" xfId="2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68" fontId="2" fillId="0" borderId="50" xfId="1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9" fontId="4" fillId="0" borderId="47" xfId="2" applyFont="1" applyFill="1" applyBorder="1" applyAlignment="1">
      <alignment horizontal="center" vertical="center" wrapText="1"/>
    </xf>
    <xf numFmtId="9" fontId="2" fillId="0" borderId="48" xfId="2" applyFont="1" applyFill="1" applyBorder="1" applyAlignment="1">
      <alignment horizontal="center" vertical="center" wrapText="1"/>
    </xf>
    <xf numFmtId="9" fontId="2" fillId="0" borderId="50" xfId="2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168" fontId="2" fillId="0" borderId="59" xfId="1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64" fontId="0" fillId="0" borderId="0" xfId="1" applyFont="1" applyFill="1" applyAlignment="1">
      <alignment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168" fontId="2" fillId="0" borderId="60" xfId="1" applyNumberFormat="1" applyFont="1" applyFill="1" applyBorder="1" applyAlignment="1">
      <alignment horizontal="center" vertical="center" wrapText="1"/>
    </xf>
    <xf numFmtId="3" fontId="2" fillId="0" borderId="58" xfId="2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8" fontId="2" fillId="0" borderId="17" xfId="1" applyNumberFormat="1" applyFont="1" applyFill="1" applyBorder="1" applyAlignment="1">
      <alignment horizontal="center" vertical="center" wrapText="1"/>
    </xf>
    <xf numFmtId="3" fontId="2" fillId="0" borderId="19" xfId="2" applyNumberFormat="1" applyFont="1" applyFill="1" applyBorder="1" applyAlignment="1">
      <alignment horizontal="center" vertical="center" wrapText="1"/>
    </xf>
    <xf numFmtId="0" fontId="2" fillId="0" borderId="19" xfId="2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4" fillId="0" borderId="22" xfId="2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0" borderId="2" xfId="2" applyFont="1" applyFill="1" applyBorder="1" applyAlignment="1">
      <alignment horizontal="center" vertical="center" wrapText="1"/>
    </xf>
    <xf numFmtId="170" fontId="2" fillId="0" borderId="0" xfId="1" applyNumberFormat="1" applyFont="1" applyFill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9" fontId="4" fillId="0" borderId="15" xfId="2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20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169" fontId="2" fillId="0" borderId="10" xfId="1" applyNumberFormat="1" applyFont="1" applyFill="1" applyBorder="1" applyAlignment="1">
      <alignment horizontal="center" vertical="center" wrapText="1"/>
    </xf>
    <xf numFmtId="169" fontId="4" fillId="0" borderId="33" xfId="1" applyNumberFormat="1" applyFont="1" applyFill="1" applyBorder="1" applyAlignment="1">
      <alignment horizontal="center" vertical="center" wrapText="1"/>
    </xf>
    <xf numFmtId="9" fontId="4" fillId="0" borderId="34" xfId="2" applyFont="1" applyFill="1" applyBorder="1" applyAlignment="1">
      <alignment horizontal="center" vertical="center" wrapText="1"/>
    </xf>
    <xf numFmtId="168" fontId="2" fillId="2" borderId="9" xfId="1" applyNumberFormat="1" applyFont="1" applyFill="1" applyBorder="1" applyAlignment="1">
      <alignment horizontal="center" vertical="center" wrapText="1"/>
    </xf>
    <xf numFmtId="169" fontId="2" fillId="0" borderId="50" xfId="1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33" xfId="1" applyNumberFormat="1" applyFont="1" applyFill="1" applyBorder="1" applyAlignment="1">
      <alignment horizontal="center" vertical="center" wrapText="1"/>
    </xf>
    <xf numFmtId="3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169" fontId="4" fillId="0" borderId="64" xfId="1" applyNumberFormat="1" applyFont="1" applyFill="1" applyBorder="1" applyAlignment="1">
      <alignment horizontal="center" vertical="center" wrapText="1"/>
    </xf>
    <xf numFmtId="9" fontId="4" fillId="0" borderId="65" xfId="2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9" fontId="2" fillId="0" borderId="20" xfId="1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71" fontId="4" fillId="2" borderId="34" xfId="2" applyNumberFormat="1" applyFont="1" applyFill="1" applyBorder="1" applyAlignment="1">
      <alignment horizontal="center" vertical="center" wrapText="1"/>
    </xf>
    <xf numFmtId="10" fontId="2" fillId="0" borderId="4" xfId="2" applyNumberFormat="1" applyFont="1" applyFill="1" applyBorder="1" applyAlignment="1">
      <alignment horizontal="center" vertical="center" wrapText="1"/>
    </xf>
    <xf numFmtId="10" fontId="2" fillId="0" borderId="49" xfId="2" applyNumberFormat="1" applyFont="1" applyFill="1" applyBorder="1" applyAlignment="1">
      <alignment horizontal="center" vertical="center" wrapText="1"/>
    </xf>
    <xf numFmtId="10" fontId="2" fillId="0" borderId="12" xfId="2" applyNumberFormat="1" applyFont="1" applyFill="1" applyBorder="1" applyAlignment="1">
      <alignment horizontal="center" vertical="center" wrapText="1"/>
    </xf>
    <xf numFmtId="10" fontId="2" fillId="0" borderId="21" xfId="2" applyNumberFormat="1" applyFont="1" applyFill="1" applyBorder="1" applyAlignment="1">
      <alignment horizontal="center" vertical="center" wrapText="1"/>
    </xf>
    <xf numFmtId="10" fontId="2" fillId="0" borderId="11" xfId="2" applyNumberFormat="1" applyFont="1" applyFill="1" applyBorder="1" applyAlignment="1">
      <alignment horizontal="center" vertical="center" wrapText="1"/>
    </xf>
    <xf numFmtId="10" fontId="2" fillId="2" borderId="4" xfId="2" applyNumberFormat="1" applyFont="1" applyFill="1" applyBorder="1" applyAlignment="1">
      <alignment horizontal="center" vertical="center" wrapText="1"/>
    </xf>
    <xf numFmtId="10" fontId="2" fillId="2" borderId="12" xfId="2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0" fontId="2" fillId="0" borderId="36" xfId="2" applyNumberFormat="1" applyFont="1" applyFill="1" applyBorder="1" applyAlignment="1">
      <alignment horizontal="center" vertical="center" wrapText="1"/>
    </xf>
    <xf numFmtId="10" fontId="2" fillId="2" borderId="36" xfId="2" applyNumberFormat="1" applyFont="1" applyFill="1" applyBorder="1" applyAlignment="1">
      <alignment horizontal="center" vertical="center" wrapText="1"/>
    </xf>
    <xf numFmtId="10" fontId="2" fillId="2" borderId="16" xfId="2" applyNumberFormat="1" applyFont="1" applyFill="1" applyBorder="1" applyAlignment="1">
      <alignment horizontal="center" vertical="center" wrapText="1"/>
    </xf>
    <xf numFmtId="10" fontId="2" fillId="2" borderId="36" xfId="0" applyNumberFormat="1" applyFont="1" applyFill="1" applyBorder="1" applyAlignment="1">
      <alignment horizontal="center" vertical="center" wrapText="1"/>
    </xf>
    <xf numFmtId="10" fontId="2" fillId="0" borderId="36" xfId="0" applyNumberFormat="1" applyFont="1" applyBorder="1" applyAlignment="1">
      <alignment horizontal="center" vertical="center" wrapText="1"/>
    </xf>
    <xf numFmtId="10" fontId="2" fillId="0" borderId="16" xfId="2" applyNumberFormat="1" applyFont="1" applyFill="1" applyBorder="1" applyAlignment="1">
      <alignment horizontal="center" vertical="center" wrapText="1"/>
    </xf>
    <xf numFmtId="10" fontId="2" fillId="2" borderId="18" xfId="2" applyNumberFormat="1" applyFont="1" applyFill="1" applyBorder="1" applyAlignment="1">
      <alignment horizontal="center" vertical="center" wrapText="1"/>
    </xf>
    <xf numFmtId="10" fontId="2" fillId="0" borderId="18" xfId="2" applyNumberFormat="1" applyFont="1" applyFill="1" applyBorder="1" applyAlignment="1">
      <alignment horizontal="center" vertical="center" wrapText="1"/>
    </xf>
    <xf numFmtId="10" fontId="2" fillId="2" borderId="49" xfId="2" applyNumberFormat="1" applyFont="1" applyFill="1" applyBorder="1" applyAlignment="1">
      <alignment horizontal="center" vertical="center" wrapText="1"/>
    </xf>
    <xf numFmtId="10" fontId="2" fillId="0" borderId="61" xfId="2" applyNumberFormat="1" applyFont="1" applyFill="1" applyBorder="1" applyAlignment="1">
      <alignment horizontal="center" vertical="center" wrapText="1"/>
    </xf>
    <xf numFmtId="10" fontId="2" fillId="2" borderId="11" xfId="2" applyNumberFormat="1" applyFont="1" applyFill="1" applyBorder="1" applyAlignment="1">
      <alignment horizontal="center" vertical="center" wrapText="1"/>
    </xf>
    <xf numFmtId="10" fontId="2" fillId="2" borderId="42" xfId="2" applyNumberFormat="1" applyFont="1" applyFill="1" applyBorder="1" applyAlignment="1">
      <alignment horizontal="center" vertical="center" wrapText="1"/>
    </xf>
    <xf numFmtId="10" fontId="2" fillId="0" borderId="42" xfId="2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9" fontId="2" fillId="0" borderId="25" xfId="2" applyFont="1" applyFill="1" applyBorder="1" applyAlignment="1">
      <alignment horizontal="center" vertical="center" wrapText="1"/>
    </xf>
    <xf numFmtId="9" fontId="2" fillId="0" borderId="62" xfId="2" applyFont="1" applyFill="1" applyBorder="1" applyAlignment="1">
      <alignment horizontal="center" vertical="center" wrapText="1"/>
    </xf>
    <xf numFmtId="0" fontId="2" fillId="0" borderId="29" xfId="2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8" fontId="4" fillId="2" borderId="35" xfId="1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8" fontId="4" fillId="2" borderId="34" xfId="1" applyNumberFormat="1" applyFont="1" applyFill="1" applyBorder="1" applyAlignment="1">
      <alignment horizontal="center" vertical="center" wrapText="1"/>
    </xf>
    <xf numFmtId="164" fontId="0" fillId="2" borderId="0" xfId="1" applyFont="1" applyFill="1" applyAlignment="1">
      <alignment horizontal="center" vertical="center" wrapText="1"/>
    </xf>
    <xf numFmtId="168" fontId="2" fillId="2" borderId="8" xfId="1" applyNumberFormat="1" applyFont="1" applyFill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vertical="center" wrapText="1"/>
    </xf>
    <xf numFmtId="168" fontId="4" fillId="2" borderId="22" xfId="1" applyNumberFormat="1" applyFont="1" applyFill="1" applyBorder="1" applyAlignment="1">
      <alignment horizontal="center" vertical="center" wrapText="1"/>
    </xf>
    <xf numFmtId="9" fontId="2" fillId="0" borderId="67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68" fontId="2" fillId="0" borderId="64" xfId="1" applyNumberFormat="1" applyFont="1" applyFill="1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2" xfId="3" xr:uid="{00000000-0005-0000-0000-000003000000}"/>
  </cellStyles>
  <dxfs count="0"/>
  <tableStyles count="0" defaultTableStyle="TableStyleMedium2" defaultPivotStyle="PivotStyleMedium9"/>
  <colors>
    <mruColors>
      <color rgb="FF66FF33"/>
      <color rgb="FFFFCCCC"/>
      <color rgb="FFFFCCFF"/>
      <color rgb="FF66FFCC"/>
      <color rgb="FF669AB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5"/>
  <sheetViews>
    <sheetView view="pageBreakPreview" zoomScale="70" zoomScaleNormal="100" zoomScaleSheetLayoutView="70" workbookViewId="0">
      <selection activeCell="H5" sqref="H5:I18"/>
    </sheetView>
  </sheetViews>
  <sheetFormatPr defaultRowHeight="15" x14ac:dyDescent="0.25"/>
  <cols>
    <col min="1" max="1" width="45" style="5" customWidth="1"/>
    <col min="2" max="2" width="12" style="78" customWidth="1"/>
    <col min="3" max="3" width="17.5703125" style="78" customWidth="1"/>
    <col min="4" max="5" width="12" style="78" customWidth="1"/>
    <col min="6" max="6" width="13.28515625" style="78" customWidth="1"/>
    <col min="7" max="7" width="11" style="78" customWidth="1"/>
    <col min="8" max="8" width="12.5703125" style="78" customWidth="1"/>
    <col min="9" max="9" width="17.28515625" style="78" customWidth="1"/>
    <col min="10" max="10" width="11" style="78" customWidth="1"/>
    <col min="11" max="11" width="10.140625" style="5" customWidth="1"/>
    <col min="12" max="12" width="15.28515625" style="5" customWidth="1"/>
    <col min="13" max="13" width="11.85546875" style="5" customWidth="1"/>
    <col min="14" max="14" width="9" style="5" customWidth="1"/>
    <col min="15" max="15" width="12.140625" style="5" customWidth="1"/>
    <col min="16" max="16" width="10.28515625" style="5" customWidth="1"/>
    <col min="17" max="17" width="10.85546875" style="5" customWidth="1"/>
    <col min="18" max="18" width="11.5703125" style="5" customWidth="1"/>
    <col min="19" max="19" width="14.140625" style="5" customWidth="1"/>
    <col min="20" max="20" width="8.28515625" style="5" customWidth="1"/>
    <col min="21" max="21" width="13.42578125" style="5" customWidth="1"/>
    <col min="22" max="22" width="10.85546875" style="5" customWidth="1"/>
    <col min="23" max="23" width="12.140625" style="5" customWidth="1"/>
    <col min="24" max="24" width="11.42578125" style="5" customWidth="1"/>
    <col min="25" max="25" width="14" style="5" customWidth="1"/>
    <col min="26" max="26" width="13" style="5" customWidth="1"/>
    <col min="27" max="27" width="12.5703125" style="5" customWidth="1"/>
    <col min="28" max="28" width="16.42578125" style="5" customWidth="1"/>
    <col min="29" max="29" width="8.5703125" style="5" customWidth="1"/>
    <col min="30" max="30" width="13.85546875" style="5" customWidth="1"/>
    <col min="31" max="31" width="15.140625" style="5" bestFit="1" customWidth="1"/>
    <col min="32" max="32" width="10" style="5" customWidth="1"/>
    <col min="33" max="33" width="9.28515625" style="5" customWidth="1"/>
    <col min="34" max="34" width="12.140625" style="5" customWidth="1"/>
    <col min="35" max="35" width="10.85546875" style="5" customWidth="1"/>
    <col min="36" max="36" width="10.140625" style="5" customWidth="1"/>
    <col min="37" max="37" width="12.28515625" style="5" customWidth="1"/>
    <col min="38" max="38" width="9.7109375" style="5" customWidth="1"/>
    <col min="39" max="40" width="10.85546875" style="5" customWidth="1"/>
    <col min="41" max="41" width="9.7109375" style="5" customWidth="1"/>
    <col min="42" max="43" width="10.85546875" style="5" customWidth="1"/>
    <col min="44" max="44" width="10.42578125" style="5" customWidth="1"/>
    <col min="45" max="45" width="11.5703125" style="5" customWidth="1"/>
    <col min="46" max="46" width="10.140625" style="5" customWidth="1"/>
    <col min="47" max="49" width="11.7109375" style="5" customWidth="1"/>
    <col min="50" max="50" width="20.7109375" style="6" customWidth="1"/>
    <col min="51" max="51" width="13.7109375" style="6" customWidth="1"/>
    <col min="52" max="52" width="12.85546875" style="6" bestFit="1" customWidth="1"/>
    <col min="53" max="53" width="26.42578125" style="5" customWidth="1"/>
    <col min="54" max="54" width="13.5703125" style="5" customWidth="1"/>
    <col min="55" max="63" width="9.140625" style="5"/>
    <col min="64" max="69" width="28.140625" style="5" customWidth="1"/>
    <col min="70" max="16384" width="9.140625" style="5"/>
  </cols>
  <sheetData>
    <row r="1" spans="1:52" ht="32.25" customHeight="1" x14ac:dyDescent="0.25">
      <c r="A1" s="44" t="s">
        <v>165</v>
      </c>
      <c r="B1" s="168"/>
      <c r="C1" s="168"/>
      <c r="D1" s="168"/>
      <c r="E1" s="168"/>
      <c r="F1" s="168"/>
      <c r="G1" s="168"/>
      <c r="K1" s="44"/>
      <c r="L1" s="44"/>
      <c r="M1" s="44"/>
      <c r="N1" s="44"/>
      <c r="O1" s="44"/>
      <c r="R1" s="45"/>
    </row>
    <row r="2" spans="1:52" ht="32.25" customHeight="1" thickBot="1" x14ac:dyDescent="0.3">
      <c r="A2" s="267" t="s">
        <v>160</v>
      </c>
      <c r="B2" s="267"/>
      <c r="C2" s="267"/>
      <c r="D2" s="267"/>
      <c r="E2" s="267"/>
      <c r="F2" s="267"/>
      <c r="G2" s="267"/>
      <c r="H2" s="267"/>
      <c r="I2" s="267"/>
      <c r="J2" s="267"/>
      <c r="K2" s="44"/>
      <c r="L2" s="44"/>
      <c r="M2" s="44"/>
      <c r="N2" s="44"/>
      <c r="O2" s="44"/>
    </row>
    <row r="3" spans="1:52" ht="53.25" customHeight="1" thickBot="1" x14ac:dyDescent="0.3">
      <c r="A3" s="280" t="s">
        <v>20</v>
      </c>
      <c r="B3" s="273" t="s">
        <v>159</v>
      </c>
      <c r="C3" s="274"/>
      <c r="D3" s="275"/>
      <c r="E3" s="273" t="s">
        <v>158</v>
      </c>
      <c r="F3" s="274"/>
      <c r="G3" s="275"/>
      <c r="H3" s="273" t="s">
        <v>157</v>
      </c>
      <c r="I3" s="274"/>
      <c r="J3" s="275"/>
      <c r="K3" s="273" t="s">
        <v>156</v>
      </c>
      <c r="L3" s="274"/>
      <c r="M3" s="275"/>
      <c r="N3" s="288" t="s">
        <v>155</v>
      </c>
      <c r="O3" s="289"/>
      <c r="P3" s="290"/>
      <c r="Q3" s="288" t="s">
        <v>154</v>
      </c>
      <c r="R3" s="289"/>
      <c r="S3" s="290"/>
      <c r="T3" s="288" t="s">
        <v>153</v>
      </c>
      <c r="U3" s="289"/>
      <c r="V3" s="290"/>
      <c r="W3" s="288" t="s">
        <v>152</v>
      </c>
      <c r="X3" s="290"/>
      <c r="Y3" s="288" t="s">
        <v>151</v>
      </c>
      <c r="Z3" s="290"/>
      <c r="AU3" s="6"/>
      <c r="AV3" s="6"/>
      <c r="AW3" s="6"/>
      <c r="AX3" s="5"/>
      <c r="AY3" s="5"/>
      <c r="AZ3" s="5"/>
    </row>
    <row r="4" spans="1:52" ht="45.75" customHeight="1" thickBot="1" x14ac:dyDescent="0.3">
      <c r="A4" s="281"/>
      <c r="B4" s="181" t="s">
        <v>79</v>
      </c>
      <c r="C4" s="181" t="s">
        <v>148</v>
      </c>
      <c r="D4" s="181" t="s">
        <v>150</v>
      </c>
      <c r="E4" s="181" t="s">
        <v>79</v>
      </c>
      <c r="F4" s="181" t="s">
        <v>148</v>
      </c>
      <c r="G4" s="181" t="s">
        <v>149</v>
      </c>
      <c r="H4" s="181" t="s">
        <v>79</v>
      </c>
      <c r="I4" s="181" t="s">
        <v>148</v>
      </c>
      <c r="J4" s="181" t="s">
        <v>150</v>
      </c>
      <c r="K4" s="34" t="s">
        <v>79</v>
      </c>
      <c r="L4" s="34" t="s">
        <v>148</v>
      </c>
      <c r="M4" s="34" t="s">
        <v>147</v>
      </c>
      <c r="N4" s="34" t="s">
        <v>79</v>
      </c>
      <c r="O4" s="34" t="s">
        <v>148</v>
      </c>
      <c r="P4" s="34" t="s">
        <v>147</v>
      </c>
      <c r="Q4" s="34" t="s">
        <v>79</v>
      </c>
      <c r="R4" s="34" t="s">
        <v>148</v>
      </c>
      <c r="S4" s="34" t="s">
        <v>147</v>
      </c>
      <c r="T4" s="34" t="s">
        <v>79</v>
      </c>
      <c r="U4" s="34" t="s">
        <v>148</v>
      </c>
      <c r="V4" s="34" t="s">
        <v>147</v>
      </c>
      <c r="W4" s="34" t="s">
        <v>148</v>
      </c>
      <c r="X4" s="34" t="s">
        <v>149</v>
      </c>
      <c r="Y4" s="34" t="s">
        <v>148</v>
      </c>
      <c r="Z4" s="34" t="s">
        <v>147</v>
      </c>
      <c r="AU4" s="6"/>
      <c r="AV4" s="6"/>
      <c r="AW4" s="6"/>
      <c r="AX4" s="5"/>
      <c r="AY4" s="5"/>
      <c r="AZ4" s="5"/>
    </row>
    <row r="5" spans="1:52" s="78" customFormat="1" x14ac:dyDescent="0.25">
      <c r="A5" s="266" t="s">
        <v>146</v>
      </c>
      <c r="B5" s="265">
        <v>506</v>
      </c>
      <c r="C5" s="196">
        <v>701244878</v>
      </c>
      <c r="D5" s="215">
        <v>0.29933879691744081</v>
      </c>
      <c r="E5" s="210">
        <v>456</v>
      </c>
      <c r="F5" s="196">
        <v>616837197</v>
      </c>
      <c r="G5" s="215">
        <v>0.35110473497258737</v>
      </c>
      <c r="H5" s="90">
        <v>376</v>
      </c>
      <c r="I5" s="192">
        <v>415435104</v>
      </c>
      <c r="J5" s="216">
        <v>0.32832469573483042</v>
      </c>
      <c r="K5" s="90">
        <f>N5+Q5+T5</f>
        <v>354</v>
      </c>
      <c r="L5" s="91">
        <f>O5+R5+U5</f>
        <v>456092866804.89001</v>
      </c>
      <c r="M5" s="216">
        <v>0.35067381742556625</v>
      </c>
      <c r="N5" s="27">
        <v>308</v>
      </c>
      <c r="O5" s="26">
        <f>392298292805.89+300000000+1800000000+6100000000+2600000000</f>
        <v>403098292805.89001</v>
      </c>
      <c r="P5" s="220">
        <v>0.34776962160843766</v>
      </c>
      <c r="Q5" s="27">
        <v>37</v>
      </c>
      <c r="R5" s="26">
        <v>39079262000</v>
      </c>
      <c r="S5" s="220">
        <v>0.38319302455800447</v>
      </c>
      <c r="T5" s="27">
        <v>9</v>
      </c>
      <c r="U5" s="26">
        <v>13915311999</v>
      </c>
      <c r="V5" s="216">
        <v>0.35197724878496051</v>
      </c>
      <c r="W5" s="248">
        <f>35596650114.8+Y5</f>
        <v>50741935407.230003</v>
      </c>
      <c r="X5" s="216">
        <v>0.38572320326689141</v>
      </c>
      <c r="Y5" s="248">
        <v>15145285292.43</v>
      </c>
      <c r="Z5" s="216">
        <v>0.44027795124968472</v>
      </c>
      <c r="AA5" s="5"/>
      <c r="AB5" s="108"/>
      <c r="AC5" s="5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5"/>
      <c r="AS5" s="5"/>
      <c r="AT5" s="5"/>
      <c r="AU5" s="5"/>
    </row>
    <row r="6" spans="1:52" s="78" customFormat="1" ht="18" customHeight="1" x14ac:dyDescent="0.25">
      <c r="A6" s="263" t="s">
        <v>145</v>
      </c>
      <c r="B6" s="68">
        <v>356</v>
      </c>
      <c r="C6" s="69">
        <v>188692629.56399998</v>
      </c>
      <c r="D6" s="216">
        <v>8.054679113232123E-2</v>
      </c>
      <c r="E6" s="72">
        <v>243</v>
      </c>
      <c r="F6" s="69">
        <v>144125173.86241001</v>
      </c>
      <c r="G6" s="214">
        <v>8.2036283184523232E-2</v>
      </c>
      <c r="H6" s="68">
        <v>218</v>
      </c>
      <c r="I6" s="69">
        <v>130782373.86240999</v>
      </c>
      <c r="J6" s="214">
        <v>0.10335930375747591</v>
      </c>
      <c r="K6" s="90">
        <f t="shared" ref="K6:K18" si="0">N6+Q6+T6</f>
        <v>152</v>
      </c>
      <c r="L6" s="91">
        <f t="shared" ref="L6:L18" si="1">O6+R6+U6</f>
        <v>84030026593.029999</v>
      </c>
      <c r="M6" s="216">
        <v>6.4672968854040155E-2</v>
      </c>
      <c r="N6" s="1">
        <v>140</v>
      </c>
      <c r="O6" s="22">
        <v>73826747127.009995</v>
      </c>
      <c r="P6" s="219">
        <v>6.3693397791951462E-2</v>
      </c>
      <c r="Q6" s="1">
        <v>12</v>
      </c>
      <c r="R6" s="22">
        <v>10203279466.02</v>
      </c>
      <c r="S6" s="219">
        <v>0.10004860171092241</v>
      </c>
      <c r="T6" s="1"/>
      <c r="U6" s="22"/>
      <c r="V6" s="214">
        <v>0</v>
      </c>
      <c r="W6" s="62">
        <f>5802927887.55+Y6</f>
        <v>6731461615.8600006</v>
      </c>
      <c r="X6" s="214">
        <v>5.0857244418170418E-2</v>
      </c>
      <c r="Y6" s="62">
        <v>928533728.30999994</v>
      </c>
      <c r="Z6" s="214">
        <v>2.5714510754503976E-2</v>
      </c>
      <c r="AA6" s="5"/>
      <c r="AB6" s="108"/>
      <c r="AC6" s="108"/>
      <c r="AD6" s="109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5"/>
      <c r="AS6" s="5"/>
      <c r="AT6" s="5"/>
      <c r="AU6" s="5"/>
    </row>
    <row r="7" spans="1:52" s="78" customFormat="1" ht="16.5" customHeight="1" x14ac:dyDescent="0.25">
      <c r="A7" s="264" t="s">
        <v>144</v>
      </c>
      <c r="B7" s="68">
        <v>362</v>
      </c>
      <c r="C7" s="69">
        <v>173654624</v>
      </c>
      <c r="D7" s="216">
        <v>7.4065656165170191E-2</v>
      </c>
      <c r="E7" s="72">
        <v>224</v>
      </c>
      <c r="F7" s="69">
        <v>112108532</v>
      </c>
      <c r="G7" s="214">
        <v>6.3729824284233447E-2</v>
      </c>
      <c r="H7" s="68">
        <v>207</v>
      </c>
      <c r="I7" s="69">
        <v>95874945.849999994</v>
      </c>
      <c r="J7" s="214">
        <v>7.5656835547323026E-2</v>
      </c>
      <c r="K7" s="90">
        <f t="shared" si="0"/>
        <v>200</v>
      </c>
      <c r="L7" s="91">
        <f t="shared" si="1"/>
        <v>87704169710</v>
      </c>
      <c r="M7" s="216">
        <v>6.7500740699453277E-2</v>
      </c>
      <c r="N7" s="1">
        <v>182</v>
      </c>
      <c r="O7" s="22">
        <f>79335669710+600000000+500000000</f>
        <v>80435669710</v>
      </c>
      <c r="P7" s="219">
        <v>6.8963818761322113E-2</v>
      </c>
      <c r="Q7" s="1">
        <v>12</v>
      </c>
      <c r="R7" s="22">
        <v>4003500000</v>
      </c>
      <c r="S7" s="219">
        <v>3.9256454582432258E-2</v>
      </c>
      <c r="T7" s="1">
        <v>6</v>
      </c>
      <c r="U7" s="22">
        <v>3265000000</v>
      </c>
      <c r="V7" s="214">
        <v>9.8488562864530005E-2</v>
      </c>
      <c r="W7" s="62">
        <f>8223617074.19+Y7</f>
        <v>10536250908.439999</v>
      </c>
      <c r="X7" s="214">
        <v>8.0152086608377138E-2</v>
      </c>
      <c r="Y7" s="62">
        <v>2312633834.25</v>
      </c>
      <c r="Z7" s="214">
        <v>6.7394370366484824E-2</v>
      </c>
      <c r="AA7" s="5"/>
      <c r="AB7" s="108"/>
      <c r="AC7" s="109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5"/>
      <c r="AS7" s="5"/>
      <c r="AT7" s="5"/>
      <c r="AU7" s="5"/>
    </row>
    <row r="8" spans="1:52" s="78" customFormat="1" ht="27" customHeight="1" x14ac:dyDescent="0.25">
      <c r="A8" s="264" t="s">
        <v>108</v>
      </c>
      <c r="B8" s="68">
        <v>310</v>
      </c>
      <c r="C8" s="69">
        <v>341848153</v>
      </c>
      <c r="D8" s="216">
        <v>0.14378960050369458</v>
      </c>
      <c r="E8" s="72">
        <v>270</v>
      </c>
      <c r="F8" s="69">
        <v>279302042</v>
      </c>
      <c r="G8" s="214">
        <v>0.1589791762083253</v>
      </c>
      <c r="H8" s="68">
        <v>223</v>
      </c>
      <c r="I8" s="69">
        <v>220374409</v>
      </c>
      <c r="J8" s="214">
        <v>0.17416525490024087</v>
      </c>
      <c r="K8" s="90">
        <f t="shared" si="0"/>
        <v>215</v>
      </c>
      <c r="L8" s="91">
        <f t="shared" si="1"/>
        <v>231979833319</v>
      </c>
      <c r="M8" s="216">
        <v>0.17854123273893555</v>
      </c>
      <c r="N8" s="1">
        <v>197</v>
      </c>
      <c r="O8" s="22">
        <v>217124138319</v>
      </c>
      <c r="P8" s="219">
        <v>0.18732200253107442</v>
      </c>
      <c r="Q8" s="1">
        <v>15</v>
      </c>
      <c r="R8" s="22">
        <f>5424218000+1000000000</f>
        <v>6424218000</v>
      </c>
      <c r="S8" s="219">
        <v>6.2992886760245739E-2</v>
      </c>
      <c r="T8" s="1">
        <v>3</v>
      </c>
      <c r="U8" s="22">
        <v>8431477000</v>
      </c>
      <c r="V8" s="214">
        <v>0.22055884530022279</v>
      </c>
      <c r="W8" s="62">
        <f>19410129654.37+Y8</f>
        <v>24085727238.59</v>
      </c>
      <c r="X8" s="214">
        <v>0.18317832071846105</v>
      </c>
      <c r="Y8" s="62">
        <v>4675597584.2200003</v>
      </c>
      <c r="Z8" s="214">
        <v>0.1360696458079583</v>
      </c>
      <c r="AA8" s="5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5"/>
      <c r="AS8" s="5"/>
      <c r="AT8" s="5"/>
      <c r="AU8" s="5"/>
    </row>
    <row r="9" spans="1:52" ht="16.5" customHeight="1" x14ac:dyDescent="0.25">
      <c r="A9" s="264" t="s">
        <v>143</v>
      </c>
      <c r="B9" s="68">
        <v>260</v>
      </c>
      <c r="C9" s="69">
        <v>625748966.63763011</v>
      </c>
      <c r="D9" s="216">
        <v>0.26670181006555937</v>
      </c>
      <c r="E9" s="72">
        <v>182</v>
      </c>
      <c r="F9" s="69">
        <v>366927116.64162999</v>
      </c>
      <c r="G9" s="214">
        <v>0.2088555110964152</v>
      </c>
      <c r="H9" s="68">
        <v>139</v>
      </c>
      <c r="I9" s="69">
        <v>223879739.64162999</v>
      </c>
      <c r="J9" s="214">
        <v>0.17665896080732751</v>
      </c>
      <c r="K9" s="90">
        <f t="shared" si="0"/>
        <v>133</v>
      </c>
      <c r="L9" s="91">
        <f t="shared" si="1"/>
        <v>209657059807</v>
      </c>
      <c r="M9" s="216">
        <v>0.16162238498523368</v>
      </c>
      <c r="N9" s="1">
        <v>113</v>
      </c>
      <c r="O9" s="22">
        <f>168191059807+2990000000+3000000000+2600000000</f>
        <v>176781059807</v>
      </c>
      <c r="P9" s="219">
        <v>0.15027322700571835</v>
      </c>
      <c r="Q9" s="1">
        <v>17</v>
      </c>
      <c r="R9" s="22">
        <v>29976000000</v>
      </c>
      <c r="S9" s="219">
        <v>0.28118348735002563</v>
      </c>
      <c r="T9" s="1">
        <v>3</v>
      </c>
      <c r="U9" s="22">
        <v>2900000000</v>
      </c>
      <c r="V9" s="214">
        <v>0.18677512320126008</v>
      </c>
      <c r="W9" s="62">
        <f>12406718070.04+Y9</f>
        <v>18711061253.82</v>
      </c>
      <c r="X9" s="219">
        <v>0.14125137142532293</v>
      </c>
      <c r="Y9" s="62">
        <v>6304343183.7799997</v>
      </c>
      <c r="Z9" s="219">
        <v>0.17955257955910112</v>
      </c>
      <c r="AB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X9" s="5"/>
      <c r="AY9" s="5"/>
      <c r="AZ9" s="5"/>
    </row>
    <row r="10" spans="1:52" s="78" customFormat="1" ht="18.75" customHeight="1" x14ac:dyDescent="0.25">
      <c r="A10" s="263" t="s">
        <v>93</v>
      </c>
      <c r="B10" s="68">
        <v>207</v>
      </c>
      <c r="C10" s="69">
        <v>88776930.386000007</v>
      </c>
      <c r="D10" s="216">
        <v>3.7819169001222279E-2</v>
      </c>
      <c r="E10" s="72">
        <v>157</v>
      </c>
      <c r="F10" s="69">
        <v>67980374.386000007</v>
      </c>
      <c r="G10" s="214">
        <v>3.7886273269724234E-2</v>
      </c>
      <c r="H10" s="68">
        <v>129</v>
      </c>
      <c r="I10" s="69">
        <v>49638085.986000001</v>
      </c>
      <c r="J10" s="214">
        <v>3.8439420811386148E-2</v>
      </c>
      <c r="K10" s="90">
        <f t="shared" si="0"/>
        <v>123</v>
      </c>
      <c r="L10" s="91">
        <f t="shared" si="1"/>
        <v>36160633086</v>
      </c>
      <c r="M10" s="216">
        <v>2.7830712331432628E-2</v>
      </c>
      <c r="N10" s="1">
        <v>105</v>
      </c>
      <c r="O10" s="22">
        <f>30183262386+500000000</f>
        <v>30683262386</v>
      </c>
      <c r="P10" s="219">
        <v>2.6471723498045312E-2</v>
      </c>
      <c r="Q10" s="1">
        <v>15</v>
      </c>
      <c r="R10" s="22">
        <f>3331370700</f>
        <v>3331370700</v>
      </c>
      <c r="S10" s="219">
        <v>3.266586801093932E-2</v>
      </c>
      <c r="T10" s="1">
        <v>3</v>
      </c>
      <c r="U10" s="22">
        <v>2146000000</v>
      </c>
      <c r="V10" s="214">
        <v>5.6137172883740073E-2</v>
      </c>
      <c r="W10" s="62">
        <f>4308683539.07+Y10</f>
        <v>5084469404.21</v>
      </c>
      <c r="X10" s="214">
        <v>3.8505831994963442E-2</v>
      </c>
      <c r="Y10" s="62">
        <v>775785865.13999999</v>
      </c>
      <c r="Z10" s="214">
        <v>2.1944218945676035E-2</v>
      </c>
      <c r="AB10" s="108"/>
      <c r="AC10" s="108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52" ht="24.75" customHeight="1" x14ac:dyDescent="0.25">
      <c r="A11" s="264" t="s">
        <v>142</v>
      </c>
      <c r="B11" s="68">
        <v>153</v>
      </c>
      <c r="C11" s="69">
        <v>109919697.28200001</v>
      </c>
      <c r="D11" s="216">
        <v>4.6921169728562598E-2</v>
      </c>
      <c r="E11" s="72">
        <v>121</v>
      </c>
      <c r="F11" s="69">
        <v>95298097.282000005</v>
      </c>
      <c r="G11" s="214">
        <v>5.4243831844642237E-2</v>
      </c>
      <c r="H11" s="68">
        <v>114</v>
      </c>
      <c r="I11" s="69">
        <v>84127374.65456</v>
      </c>
      <c r="J11" s="214">
        <v>6.6487146657756915E-2</v>
      </c>
      <c r="K11" s="90">
        <f t="shared" si="0"/>
        <v>125</v>
      </c>
      <c r="L11" s="91">
        <f t="shared" si="1"/>
        <v>104114686221</v>
      </c>
      <c r="M11" s="216">
        <v>8.005398587951261E-2</v>
      </c>
      <c r="N11" s="1">
        <v>107</v>
      </c>
      <c r="O11" s="22">
        <f>90614711921+250000000+350000000+3431908000</f>
        <v>94646619921</v>
      </c>
      <c r="P11" s="219">
        <v>8.1655565860443743E-2</v>
      </c>
      <c r="Q11" s="1">
        <v>14</v>
      </c>
      <c r="R11" s="22">
        <f>7878066300+200000000</f>
        <v>8078066300</v>
      </c>
      <c r="S11" s="219">
        <v>7.9209752171806327E-2</v>
      </c>
      <c r="T11" s="1">
        <v>4</v>
      </c>
      <c r="U11" s="22">
        <v>1390000000</v>
      </c>
      <c r="V11" s="214">
        <v>3.3745085284261275E-2</v>
      </c>
      <c r="W11" s="62">
        <f>7392292738.3+Y11</f>
        <v>9251334849.5300007</v>
      </c>
      <c r="X11" s="219">
        <v>7.0332668342404522E-2</v>
      </c>
      <c r="Y11" s="62">
        <v>1859042111.23</v>
      </c>
      <c r="Z11" s="219">
        <v>5.4004319872071584E-2</v>
      </c>
      <c r="AB11" s="108"/>
      <c r="AC11" s="108"/>
      <c r="AX11" s="5"/>
      <c r="AY11" s="5"/>
      <c r="AZ11" s="5"/>
    </row>
    <row r="12" spans="1:52" s="78" customFormat="1" ht="33" customHeight="1" x14ac:dyDescent="0.25">
      <c r="A12" s="264" t="s">
        <v>141</v>
      </c>
      <c r="B12" s="68">
        <v>74</v>
      </c>
      <c r="C12" s="69">
        <v>117985764.235</v>
      </c>
      <c r="D12" s="216">
        <v>5.036431327700866E-2</v>
      </c>
      <c r="E12" s="72">
        <v>45</v>
      </c>
      <c r="F12" s="69">
        <v>74772672.700000003</v>
      </c>
      <c r="G12" s="214">
        <v>4.2560726816099452E-2</v>
      </c>
      <c r="H12" s="68">
        <v>35</v>
      </c>
      <c r="I12" s="69">
        <v>45660334.947699994</v>
      </c>
      <c r="J12" s="214">
        <v>3.6086058771899174E-2</v>
      </c>
      <c r="K12" s="90">
        <f t="shared" si="0"/>
        <v>31</v>
      </c>
      <c r="L12" s="91">
        <f t="shared" si="1"/>
        <v>36220032600</v>
      </c>
      <c r="M12" s="216">
        <v>2.7876428643501316E-2</v>
      </c>
      <c r="N12" s="1">
        <v>26</v>
      </c>
      <c r="O12" s="22">
        <f>32032500000+2000000000</f>
        <v>34032500000</v>
      </c>
      <c r="P12" s="219">
        <v>2.7635766767031826E-2</v>
      </c>
      <c r="Q12" s="1">
        <v>5</v>
      </c>
      <c r="R12" s="22">
        <v>2187532600</v>
      </c>
      <c r="S12" s="219">
        <v>2.144992485562382E-2</v>
      </c>
      <c r="T12" s="68"/>
      <c r="U12" s="73"/>
      <c r="V12" s="214">
        <v>5.2317961681025232E-2</v>
      </c>
      <c r="W12" s="62">
        <f>2596661720.74+Y12</f>
        <v>3751173723.96</v>
      </c>
      <c r="X12" s="214">
        <v>2.8536499323708435E-2</v>
      </c>
      <c r="Y12" s="62">
        <v>1154512003.22</v>
      </c>
      <c r="Z12" s="214">
        <v>3.3646277166086321E-2</v>
      </c>
      <c r="AB12" s="108"/>
      <c r="AC12" s="10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52" ht="18" customHeight="1" x14ac:dyDescent="0.25">
      <c r="A13" s="263" t="s">
        <v>87</v>
      </c>
      <c r="B13" s="68">
        <v>3</v>
      </c>
      <c r="C13" s="69">
        <v>60500</v>
      </c>
      <c r="D13" s="216">
        <v>2.5825496601352956E-5</v>
      </c>
      <c r="E13" s="72">
        <v>3</v>
      </c>
      <c r="F13" s="69">
        <v>60500</v>
      </c>
      <c r="G13" s="214">
        <v>3.4436698320321199E-5</v>
      </c>
      <c r="H13" s="68">
        <v>2</v>
      </c>
      <c r="I13" s="69">
        <v>40500</v>
      </c>
      <c r="J13" s="214">
        <v>3.200776739671145E-5</v>
      </c>
      <c r="K13" s="90">
        <f t="shared" si="0"/>
        <v>2</v>
      </c>
      <c r="L13" s="91">
        <f t="shared" si="1"/>
        <v>40500000</v>
      </c>
      <c r="M13" s="216">
        <v>3.1170467805205768E-5</v>
      </c>
      <c r="N13" s="1">
        <v>2</v>
      </c>
      <c r="O13" s="212">
        <v>40500000</v>
      </c>
      <c r="P13" s="219">
        <v>3.4941030330595142E-5</v>
      </c>
      <c r="Q13" s="68"/>
      <c r="R13" s="73"/>
      <c r="S13" s="219">
        <v>0</v>
      </c>
      <c r="T13" s="68"/>
      <c r="U13" s="73"/>
      <c r="V13" s="214">
        <v>0</v>
      </c>
      <c r="W13" s="62">
        <f>2337709.25+Y13</f>
        <v>3032662.54</v>
      </c>
      <c r="X13" s="214">
        <v>2.3070531756227648E-5</v>
      </c>
      <c r="Y13" s="62">
        <v>694953.29</v>
      </c>
      <c r="Z13" s="214">
        <v>2.0253224693730494E-5</v>
      </c>
      <c r="AB13" s="108"/>
      <c r="AC13" s="108"/>
      <c r="AX13" s="5"/>
      <c r="AY13" s="5"/>
      <c r="AZ13" s="5"/>
    </row>
    <row r="14" spans="1:52" ht="30" customHeight="1" x14ac:dyDescent="0.25">
      <c r="A14" s="263" t="s">
        <v>85</v>
      </c>
      <c r="B14" s="68"/>
      <c r="C14" s="69"/>
      <c r="D14" s="216">
        <v>0</v>
      </c>
      <c r="E14" s="72"/>
      <c r="F14" s="69"/>
      <c r="G14" s="214">
        <v>0</v>
      </c>
      <c r="H14" s="68"/>
      <c r="I14" s="69"/>
      <c r="J14" s="214">
        <v>0</v>
      </c>
      <c r="K14" s="90">
        <f t="shared" si="0"/>
        <v>2</v>
      </c>
      <c r="L14" s="91">
        <f t="shared" si="1"/>
        <v>52069842234</v>
      </c>
      <c r="M14" s="216">
        <v>4.0075094838939271E-2</v>
      </c>
      <c r="N14" s="1">
        <v>2</v>
      </c>
      <c r="O14" s="212">
        <v>52069842234</v>
      </c>
      <c r="P14" s="219">
        <v>4.4922813254506123E-2</v>
      </c>
      <c r="Q14" s="68"/>
      <c r="R14" s="73"/>
      <c r="S14" s="219">
        <v>0</v>
      </c>
      <c r="T14" s="68"/>
      <c r="U14" s="73"/>
      <c r="V14" s="214">
        <v>0</v>
      </c>
      <c r="W14" s="62">
        <f>1211042217.86+Y14</f>
        <v>2571910028.75</v>
      </c>
      <c r="X14" s="214">
        <v>1.9565425170067631E-2</v>
      </c>
      <c r="Y14" s="62">
        <v>1360867810.8900001</v>
      </c>
      <c r="Z14" s="214">
        <v>3.9660164141996232E-2</v>
      </c>
      <c r="AB14" s="108"/>
      <c r="AC14" s="108"/>
      <c r="AX14" s="5"/>
      <c r="AY14" s="5"/>
      <c r="AZ14" s="5"/>
    </row>
    <row r="15" spans="1:52" ht="18" customHeight="1" x14ac:dyDescent="0.25">
      <c r="A15" s="263" t="s">
        <v>104</v>
      </c>
      <c r="B15" s="68"/>
      <c r="C15" s="69"/>
      <c r="D15" s="214">
        <v>0</v>
      </c>
      <c r="E15" s="72"/>
      <c r="F15" s="69"/>
      <c r="G15" s="214">
        <v>0</v>
      </c>
      <c r="H15" s="68"/>
      <c r="I15" s="69"/>
      <c r="J15" s="214">
        <v>0</v>
      </c>
      <c r="K15" s="90">
        <f t="shared" si="0"/>
        <v>1</v>
      </c>
      <c r="L15" s="91">
        <f t="shared" si="1"/>
        <v>336286250</v>
      </c>
      <c r="M15" s="216">
        <v>2.5881974639403401E-4</v>
      </c>
      <c r="N15" s="1">
        <v>1</v>
      </c>
      <c r="O15" s="22">
        <v>336286250</v>
      </c>
      <c r="P15" s="219">
        <v>2.9012810027190375E-4</v>
      </c>
      <c r="Q15" s="68"/>
      <c r="R15" s="73"/>
      <c r="S15" s="219">
        <v>0</v>
      </c>
      <c r="T15" s="68"/>
      <c r="U15" s="73"/>
      <c r="V15" s="214">
        <v>0</v>
      </c>
      <c r="W15" s="62">
        <f>8153010.93+Y15</f>
        <v>14993489.5</v>
      </c>
      <c r="X15" s="214">
        <v>1.1406075390320737E-4</v>
      </c>
      <c r="Y15" s="62">
        <v>6840478.5700000003</v>
      </c>
      <c r="Z15" s="214">
        <v>1.9935404506230664E-4</v>
      </c>
      <c r="AB15" s="108"/>
      <c r="AC15" s="108"/>
      <c r="AX15" s="5"/>
      <c r="AY15" s="5"/>
      <c r="AZ15" s="5"/>
    </row>
    <row r="16" spans="1:52" ht="18" customHeight="1" x14ac:dyDescent="0.25">
      <c r="A16" s="263" t="s">
        <v>140</v>
      </c>
      <c r="B16" s="68"/>
      <c r="C16" s="69"/>
      <c r="D16" s="214">
        <v>0</v>
      </c>
      <c r="E16" s="72"/>
      <c r="F16" s="69"/>
      <c r="G16" s="214">
        <v>0</v>
      </c>
      <c r="H16" s="68"/>
      <c r="I16" s="69"/>
      <c r="J16" s="214">
        <v>0</v>
      </c>
      <c r="K16" s="90">
        <f t="shared" si="0"/>
        <v>1</v>
      </c>
      <c r="L16" s="91">
        <f t="shared" si="1"/>
        <v>88056000</v>
      </c>
      <c r="M16" s="216">
        <v>6.7771523779140718E-5</v>
      </c>
      <c r="N16" s="1">
        <v>1</v>
      </c>
      <c r="O16" s="22">
        <v>88056000</v>
      </c>
      <c r="P16" s="219">
        <v>7.5969564612120638E-5</v>
      </c>
      <c r="Q16" s="68"/>
      <c r="R16" s="73"/>
      <c r="S16" s="219">
        <v>0</v>
      </c>
      <c r="T16" s="68"/>
      <c r="U16" s="73"/>
      <c r="V16" s="214">
        <v>0</v>
      </c>
      <c r="W16" s="62">
        <f>4156286+Y16</f>
        <v>7870521</v>
      </c>
      <c r="X16" s="214">
        <v>5.9873824493692789E-5</v>
      </c>
      <c r="Y16" s="62">
        <v>3714235</v>
      </c>
      <c r="Z16" s="214">
        <v>1.0824502466966965E-4</v>
      </c>
      <c r="AB16" s="108"/>
      <c r="AC16" s="108"/>
      <c r="AX16" s="5"/>
      <c r="AY16" s="5"/>
      <c r="AZ16" s="5"/>
    </row>
    <row r="17" spans="1:52" s="6" customFormat="1" ht="29.25" thickBot="1" x14ac:dyDescent="0.3">
      <c r="A17" s="262" t="s">
        <v>139</v>
      </c>
      <c r="B17" s="68">
        <v>1</v>
      </c>
      <c r="C17" s="69">
        <v>1000000</v>
      </c>
      <c r="D17" s="214">
        <v>4.2686771241905717E-4</v>
      </c>
      <c r="E17" s="206">
        <v>1</v>
      </c>
      <c r="F17" s="83">
        <v>1000000</v>
      </c>
      <c r="G17" s="218">
        <v>5.6920162512927601E-4</v>
      </c>
      <c r="H17" s="87">
        <v>1</v>
      </c>
      <c r="I17" s="83">
        <v>1000000</v>
      </c>
      <c r="J17" s="218">
        <v>7.9031524436324577E-4</v>
      </c>
      <c r="K17" s="90">
        <f t="shared" si="0"/>
        <v>1</v>
      </c>
      <c r="L17" s="91">
        <f t="shared" si="1"/>
        <v>1000000000</v>
      </c>
      <c r="M17" s="216">
        <v>7.6964118037545107E-4</v>
      </c>
      <c r="N17" s="1">
        <v>1</v>
      </c>
      <c r="O17" s="22">
        <v>1000000000</v>
      </c>
      <c r="P17" s="219">
        <v>8.6274148964432453E-4</v>
      </c>
      <c r="Q17" s="68"/>
      <c r="R17" s="73"/>
      <c r="S17" s="219">
        <v>0</v>
      </c>
      <c r="T17" s="68"/>
      <c r="U17" s="73"/>
      <c r="V17" s="214">
        <v>0</v>
      </c>
      <c r="W17" s="62">
        <f>175196422.89+Y17</f>
        <v>222856035.5</v>
      </c>
      <c r="X17" s="214">
        <v>1.6953443306849914E-3</v>
      </c>
      <c r="Y17" s="62">
        <v>47659612.609999999</v>
      </c>
      <c r="Z17" s="214">
        <v>1.3889578722715036E-3</v>
      </c>
      <c r="AA17" s="5"/>
      <c r="AB17" s="5"/>
      <c r="AC17" s="5"/>
      <c r="AD17" s="108"/>
    </row>
    <row r="18" spans="1:52" s="6" customFormat="1" ht="15.75" thickBot="1" x14ac:dyDescent="0.3">
      <c r="A18" s="262" t="s">
        <v>138</v>
      </c>
      <c r="B18" s="163"/>
      <c r="C18" s="211"/>
      <c r="D18" s="217">
        <v>0</v>
      </c>
      <c r="E18" s="72"/>
      <c r="F18" s="69"/>
      <c r="G18" s="214">
        <v>0</v>
      </c>
      <c r="H18" s="87"/>
      <c r="I18" s="83"/>
      <c r="J18" s="218">
        <v>0</v>
      </c>
      <c r="K18" s="90">
        <f t="shared" si="0"/>
        <v>1</v>
      </c>
      <c r="L18" s="91">
        <f t="shared" si="1"/>
        <v>32782400</v>
      </c>
      <c r="M18" s="216">
        <v>2.5230685031540188E-5</v>
      </c>
      <c r="N18" s="1">
        <v>1</v>
      </c>
      <c r="O18" s="22">
        <v>32782400</v>
      </c>
      <c r="P18" s="219">
        <v>2.8282736610116105E-5</v>
      </c>
      <c r="Q18" s="68"/>
      <c r="R18" s="73"/>
      <c r="S18" s="219"/>
      <c r="T18" s="68"/>
      <c r="U18" s="73"/>
      <c r="V18" s="214">
        <v>0</v>
      </c>
      <c r="W18" s="75">
        <f>Y18</f>
        <v>825630.8</v>
      </c>
      <c r="X18" s="214">
        <v>4.9992907948961092E-6</v>
      </c>
      <c r="Y18" s="75">
        <v>825630.8</v>
      </c>
      <c r="Z18" s="214">
        <v>1.9151969739693494E-5</v>
      </c>
      <c r="AA18" s="5"/>
      <c r="AB18" s="5"/>
      <c r="AC18" s="5"/>
      <c r="AD18" s="108"/>
    </row>
    <row r="19" spans="1:52" s="6" customFormat="1" ht="29.25" customHeight="1" thickBot="1" x14ac:dyDescent="0.3">
      <c r="A19" s="191" t="s">
        <v>137</v>
      </c>
      <c r="B19" s="207">
        <f t="shared" ref="B19:J19" si="2">SUM(B5:B17)</f>
        <v>2232</v>
      </c>
      <c r="C19" s="208">
        <f t="shared" si="2"/>
        <v>2348932143.10463</v>
      </c>
      <c r="D19" s="209">
        <f t="shared" si="2"/>
        <v>1</v>
      </c>
      <c r="E19" s="170">
        <f t="shared" si="2"/>
        <v>1702</v>
      </c>
      <c r="F19" s="193">
        <f t="shared" si="2"/>
        <v>1758411705.87204</v>
      </c>
      <c r="G19" s="194">
        <f t="shared" si="2"/>
        <v>1.0000000000000002</v>
      </c>
      <c r="H19" s="170">
        <f t="shared" si="2"/>
        <v>1444</v>
      </c>
      <c r="I19" s="193">
        <f t="shared" si="2"/>
        <v>1266812867.9423001</v>
      </c>
      <c r="J19" s="194">
        <f t="shared" si="2"/>
        <v>0.99999999999999989</v>
      </c>
      <c r="K19" s="41">
        <f>SUM(K5:K18)</f>
        <v>1341</v>
      </c>
      <c r="L19" s="129">
        <f>SUM(L5:L18)</f>
        <v>1299526775024.9199</v>
      </c>
      <c r="M19" s="127">
        <f>SUM(M5:M17)</f>
        <v>0.99997476931496854</v>
      </c>
      <c r="N19" s="41">
        <f>SUM(N5:N18)</f>
        <v>1186</v>
      </c>
      <c r="O19" s="129">
        <f>SUM(O5:O18)</f>
        <v>1164195756959.8999</v>
      </c>
      <c r="P19" s="127">
        <f>SUM(P5:P17)</f>
        <v>0.99997171726338985</v>
      </c>
      <c r="Q19" s="41">
        <f>SUM(Q5:Q17)</f>
        <v>127</v>
      </c>
      <c r="R19" s="129">
        <f>SUM(R5:R17)</f>
        <v>103283229066.02</v>
      </c>
      <c r="S19" s="127">
        <f>SUM(S5:S17)</f>
        <v>0.99999999999999989</v>
      </c>
      <c r="T19" s="41">
        <f>SUM(T5:T18)</f>
        <v>28</v>
      </c>
      <c r="U19" s="129">
        <f>SUM(U5:U18)</f>
        <v>32047788999</v>
      </c>
      <c r="V19" s="213">
        <f>SUM(V5:V18)</f>
        <v>1</v>
      </c>
      <c r="W19" s="23">
        <f>SUM(W5:W17)</f>
        <v>131714077138.93001</v>
      </c>
      <c r="X19" s="127">
        <f>SUM(X5:X17)</f>
        <v>0.99999500070920511</v>
      </c>
      <c r="Y19" s="23">
        <f>SUM(Y5:Y18)</f>
        <v>34576336323.740005</v>
      </c>
      <c r="Z19" s="127">
        <f>SUM(Z5:Z17)</f>
        <v>0.99998084803026033</v>
      </c>
      <c r="AB19" s="61"/>
    </row>
    <row r="20" spans="1:52" x14ac:dyDescent="0.25">
      <c r="A20" s="44"/>
      <c r="B20" s="168"/>
      <c r="C20" s="168"/>
      <c r="D20" s="172"/>
      <c r="E20" s="168"/>
      <c r="F20" s="168"/>
      <c r="G20" s="168"/>
      <c r="H20" s="173"/>
      <c r="I20" s="168"/>
      <c r="J20" s="168"/>
      <c r="K20" s="44"/>
      <c r="O20" s="45"/>
      <c r="P20" s="61"/>
      <c r="Q20" s="45"/>
      <c r="S20" s="67"/>
      <c r="AC20" s="45"/>
    </row>
    <row r="21" spans="1:52" ht="30.75" customHeight="1" thickBot="1" x14ac:dyDescent="0.3">
      <c r="A21" s="285" t="s">
        <v>136</v>
      </c>
      <c r="B21" s="285"/>
      <c r="C21" s="285"/>
      <c r="D21" s="285"/>
      <c r="E21" s="285"/>
      <c r="F21" s="285"/>
      <c r="G21" s="285"/>
      <c r="H21" s="267"/>
      <c r="I21" s="267"/>
      <c r="J21" s="267"/>
      <c r="K21" s="4"/>
      <c r="L21" s="4"/>
      <c r="M21" s="5" t="s">
        <v>50</v>
      </c>
      <c r="N21" s="44"/>
      <c r="O21" s="46"/>
      <c r="R21" s="45"/>
      <c r="S21" s="44"/>
    </row>
    <row r="22" spans="1:52" ht="51.75" customHeight="1" thickBot="1" x14ac:dyDescent="0.3">
      <c r="A22" s="286" t="s">
        <v>135</v>
      </c>
      <c r="B22" s="268" t="s">
        <v>108</v>
      </c>
      <c r="C22" s="268"/>
      <c r="D22" s="269"/>
      <c r="E22" s="268" t="s">
        <v>94</v>
      </c>
      <c r="F22" s="268"/>
      <c r="G22" s="269"/>
      <c r="H22" s="268" t="s">
        <v>93</v>
      </c>
      <c r="I22" s="268"/>
      <c r="J22" s="269"/>
      <c r="K22" s="271" t="s">
        <v>92</v>
      </c>
      <c r="L22" s="271"/>
      <c r="M22" s="271"/>
      <c r="N22" s="270" t="s">
        <v>91</v>
      </c>
      <c r="O22" s="271"/>
      <c r="P22" s="272"/>
      <c r="Q22" s="270" t="s">
        <v>134</v>
      </c>
      <c r="R22" s="271"/>
      <c r="S22" s="271"/>
      <c r="T22" s="270" t="s">
        <v>106</v>
      </c>
      <c r="U22" s="271"/>
      <c r="V22" s="272"/>
      <c r="W22" s="282" t="s">
        <v>88</v>
      </c>
      <c r="X22" s="283"/>
      <c r="Y22" s="284"/>
      <c r="Z22" s="270" t="s">
        <v>87</v>
      </c>
      <c r="AA22" s="271"/>
      <c r="AB22" s="272"/>
      <c r="AC22" s="270" t="s">
        <v>86</v>
      </c>
      <c r="AD22" s="271"/>
      <c r="AE22" s="271"/>
      <c r="AF22" s="273" t="s">
        <v>133</v>
      </c>
      <c r="AG22" s="274"/>
      <c r="AH22" s="275"/>
      <c r="AI22" s="273" t="s">
        <v>104</v>
      </c>
      <c r="AJ22" s="274"/>
      <c r="AK22" s="275"/>
      <c r="AL22" s="270" t="s">
        <v>103</v>
      </c>
      <c r="AM22" s="271"/>
      <c r="AN22" s="272"/>
      <c r="AO22" s="270" t="s">
        <v>102</v>
      </c>
      <c r="AP22" s="271"/>
      <c r="AQ22" s="272"/>
      <c r="AR22" s="271" t="s">
        <v>132</v>
      </c>
      <c r="AS22" s="271"/>
      <c r="AT22" s="272"/>
      <c r="AX22" s="5"/>
      <c r="AY22" s="5"/>
      <c r="AZ22" s="5"/>
    </row>
    <row r="23" spans="1:52" ht="51.75" customHeight="1" thickBot="1" x14ac:dyDescent="0.3">
      <c r="A23" s="287"/>
      <c r="B23" s="174" t="s">
        <v>79</v>
      </c>
      <c r="C23" s="181" t="s">
        <v>101</v>
      </c>
      <c r="D23" s="182" t="s">
        <v>77</v>
      </c>
      <c r="E23" s="180" t="s">
        <v>131</v>
      </c>
      <c r="F23" s="181" t="s">
        <v>101</v>
      </c>
      <c r="G23" s="182" t="s">
        <v>77</v>
      </c>
      <c r="H23" s="199" t="s">
        <v>131</v>
      </c>
      <c r="I23" s="200" t="s">
        <v>101</v>
      </c>
      <c r="J23" s="201" t="s">
        <v>77</v>
      </c>
      <c r="K23" s="33" t="s">
        <v>79</v>
      </c>
      <c r="L23" s="34" t="s">
        <v>101</v>
      </c>
      <c r="M23" s="35" t="s">
        <v>77</v>
      </c>
      <c r="N23" s="33" t="s">
        <v>79</v>
      </c>
      <c r="O23" s="34" t="s">
        <v>130</v>
      </c>
      <c r="P23" s="35" t="s">
        <v>77</v>
      </c>
      <c r="Q23" s="33" t="s">
        <v>79</v>
      </c>
      <c r="R23" s="34" t="s">
        <v>101</v>
      </c>
      <c r="S23" s="35" t="s">
        <v>77</v>
      </c>
      <c r="T23" s="33" t="s">
        <v>79</v>
      </c>
      <c r="U23" s="34" t="s">
        <v>101</v>
      </c>
      <c r="V23" s="35" t="s">
        <v>77</v>
      </c>
      <c r="W23" s="202" t="s">
        <v>79</v>
      </c>
      <c r="X23" s="203" t="s">
        <v>101</v>
      </c>
      <c r="Y23" s="35" t="s">
        <v>77</v>
      </c>
      <c r="Z23" s="33" t="s">
        <v>79</v>
      </c>
      <c r="AA23" s="34" t="s">
        <v>101</v>
      </c>
      <c r="AB23" s="111" t="s">
        <v>77</v>
      </c>
      <c r="AC23" s="33" t="s">
        <v>2</v>
      </c>
      <c r="AD23" s="34" t="s">
        <v>101</v>
      </c>
      <c r="AE23" s="111" t="s">
        <v>77</v>
      </c>
      <c r="AF23" s="36" t="s">
        <v>79</v>
      </c>
      <c r="AG23" s="37" t="s">
        <v>101</v>
      </c>
      <c r="AH23" s="38" t="s">
        <v>77</v>
      </c>
      <c r="AI23" s="36" t="s">
        <v>79</v>
      </c>
      <c r="AJ23" s="37" t="s">
        <v>101</v>
      </c>
      <c r="AK23" s="38" t="s">
        <v>77</v>
      </c>
      <c r="AL23" s="139" t="s">
        <v>79</v>
      </c>
      <c r="AM23" s="139" t="s">
        <v>101</v>
      </c>
      <c r="AN23" s="136" t="s">
        <v>77</v>
      </c>
      <c r="AO23" s="139" t="s">
        <v>79</v>
      </c>
      <c r="AP23" s="139" t="s">
        <v>101</v>
      </c>
      <c r="AQ23" s="136" t="s">
        <v>77</v>
      </c>
      <c r="AR23" s="111" t="s">
        <v>79</v>
      </c>
      <c r="AS23" s="34" t="s">
        <v>101</v>
      </c>
      <c r="AT23" s="35" t="s">
        <v>77</v>
      </c>
      <c r="AX23" s="5"/>
      <c r="AY23" s="5"/>
      <c r="AZ23" s="5"/>
    </row>
    <row r="24" spans="1:52" ht="21.75" customHeight="1" x14ac:dyDescent="0.25">
      <c r="A24" s="198" t="s">
        <v>129</v>
      </c>
      <c r="B24" s="95">
        <v>4</v>
      </c>
      <c r="C24" s="73">
        <v>645000000</v>
      </c>
      <c r="D24" s="214">
        <v>2.970650822122607E-3</v>
      </c>
      <c r="E24" s="90">
        <v>24</v>
      </c>
      <c r="F24" s="73">
        <v>9140179000</v>
      </c>
      <c r="G24" s="216">
        <v>0.11434418493220629</v>
      </c>
      <c r="H24" s="90">
        <v>8</v>
      </c>
      <c r="I24" s="73">
        <v>308400000</v>
      </c>
      <c r="J24" s="222">
        <v>1.0051082447501252E-2</v>
      </c>
      <c r="K24" s="27">
        <v>17</v>
      </c>
      <c r="L24" s="22">
        <v>15912551000</v>
      </c>
      <c r="M24" s="223">
        <v>3.9475610003792821E-2</v>
      </c>
      <c r="N24" s="21">
        <v>1</v>
      </c>
      <c r="O24" s="22">
        <v>2600000000</v>
      </c>
      <c r="P24" s="224">
        <v>0</v>
      </c>
      <c r="Q24" s="27">
        <v>14</v>
      </c>
      <c r="R24" s="22">
        <v>10003905782</v>
      </c>
      <c r="S24" s="225">
        <v>0.10569744371589919</v>
      </c>
      <c r="T24" s="27">
        <v>4</v>
      </c>
      <c r="U24" s="22">
        <v>355000000</v>
      </c>
      <c r="V24" s="218">
        <v>4.8085553517516547E-3</v>
      </c>
      <c r="W24" s="27"/>
      <c r="X24" s="22"/>
      <c r="Y24" s="220">
        <v>0</v>
      </c>
      <c r="Z24" s="27">
        <v>1</v>
      </c>
      <c r="AA24" s="22">
        <v>25000000</v>
      </c>
      <c r="AB24" s="223">
        <v>0.61728395061728392</v>
      </c>
      <c r="AC24" s="114"/>
      <c r="AD24" s="65"/>
      <c r="AE24" s="230"/>
      <c r="AF24" s="112"/>
      <c r="AG24" s="141"/>
      <c r="AH24" s="220"/>
      <c r="AI24" s="21"/>
      <c r="AJ24" s="22"/>
      <c r="AK24" s="220">
        <v>0</v>
      </c>
      <c r="AL24" s="131"/>
      <c r="AM24" s="65"/>
      <c r="AN24" s="215"/>
      <c r="AO24" s="131"/>
      <c r="AP24" s="65"/>
      <c r="AQ24" s="215"/>
      <c r="AR24" s="132">
        <v>72</v>
      </c>
      <c r="AS24" s="73">
        <v>36390035782</v>
      </c>
      <c r="AT24" s="233">
        <v>3.1395193678772949E-2</v>
      </c>
      <c r="AX24" s="5"/>
      <c r="AY24" s="5"/>
      <c r="AZ24" s="5"/>
    </row>
    <row r="25" spans="1:52" ht="14.25" customHeight="1" x14ac:dyDescent="0.25">
      <c r="A25" s="47" t="s">
        <v>128</v>
      </c>
      <c r="B25" s="72">
        <v>11</v>
      </c>
      <c r="C25" s="73">
        <v>5375400000</v>
      </c>
      <c r="D25" s="214">
        <v>2.4757265781764126E-2</v>
      </c>
      <c r="E25" s="68">
        <v>10</v>
      </c>
      <c r="F25" s="73">
        <v>1816241550</v>
      </c>
      <c r="G25" s="216">
        <v>2.2721290214858702E-2</v>
      </c>
      <c r="H25" s="68">
        <v>4</v>
      </c>
      <c r="I25" s="73">
        <v>48900000</v>
      </c>
      <c r="J25" s="222">
        <v>1.5937027616174165E-3</v>
      </c>
      <c r="K25" s="1">
        <v>26</v>
      </c>
      <c r="L25" s="22">
        <v>23223113000</v>
      </c>
      <c r="M25" s="223">
        <v>5.7611538958273326E-2</v>
      </c>
      <c r="N25" s="1">
        <v>11</v>
      </c>
      <c r="O25" s="22">
        <v>4680592559</v>
      </c>
      <c r="P25" s="224">
        <v>2.6871994947018321E-2</v>
      </c>
      <c r="Q25" s="1">
        <v>9</v>
      </c>
      <c r="R25" s="22">
        <v>12193500000</v>
      </c>
      <c r="S25" s="225">
        <v>0.12883185907935979</v>
      </c>
      <c r="T25" s="1">
        <v>9</v>
      </c>
      <c r="U25" s="22">
        <v>1770000000</v>
      </c>
      <c r="V25" s="218">
        <v>2.397505062704346E-2</v>
      </c>
      <c r="W25" s="27">
        <v>2</v>
      </c>
      <c r="X25" s="22">
        <v>2040000000</v>
      </c>
      <c r="Y25" s="220">
        <v>6.3685319597284004E-2</v>
      </c>
      <c r="Z25" s="1"/>
      <c r="AA25" s="22"/>
      <c r="AB25" s="224"/>
      <c r="AC25" s="30"/>
      <c r="AD25" s="22"/>
      <c r="AE25" s="219"/>
      <c r="AF25" s="112"/>
      <c r="AG25" s="63"/>
      <c r="AH25" s="219"/>
      <c r="AI25" s="21"/>
      <c r="AJ25" s="22"/>
      <c r="AK25" s="220">
        <v>0</v>
      </c>
      <c r="AL25" s="138"/>
      <c r="AM25" s="22"/>
      <c r="AN25" s="216"/>
      <c r="AO25" s="138"/>
      <c r="AP25" s="22"/>
      <c r="AQ25" s="216"/>
      <c r="AR25" s="132">
        <v>82</v>
      </c>
      <c r="AS25" s="73">
        <v>51147747109</v>
      </c>
      <c r="AT25" s="233">
        <v>4.4127283532769852E-2</v>
      </c>
      <c r="AX25" s="5"/>
      <c r="AY25" s="5"/>
      <c r="AZ25" s="5"/>
    </row>
    <row r="26" spans="1:52" s="78" customFormat="1" x14ac:dyDescent="0.25">
      <c r="A26" s="79" t="s">
        <v>127</v>
      </c>
      <c r="B26" s="72">
        <v>21</v>
      </c>
      <c r="C26" s="73">
        <v>40545145844</v>
      </c>
      <c r="D26" s="214">
        <v>0.18673716408458854</v>
      </c>
      <c r="E26" s="68">
        <v>8</v>
      </c>
      <c r="F26" s="73">
        <v>18314405560</v>
      </c>
      <c r="G26" s="216">
        <v>0.22911430687255324</v>
      </c>
      <c r="H26" s="68">
        <v>5</v>
      </c>
      <c r="I26" s="73">
        <v>2990000000</v>
      </c>
      <c r="J26" s="222">
        <v>9.7447264974152875E-2</v>
      </c>
      <c r="K26" s="68">
        <v>34</v>
      </c>
      <c r="L26" s="73">
        <v>53373956339</v>
      </c>
      <c r="M26" s="223">
        <v>0.13240928401724084</v>
      </c>
      <c r="N26" s="68">
        <v>10</v>
      </c>
      <c r="O26" s="73">
        <f>41855122749+7000000000+2440000000</f>
        <v>51295122749</v>
      </c>
      <c r="P26" s="224">
        <v>0.29449311426763147</v>
      </c>
      <c r="Q26" s="68">
        <v>9</v>
      </c>
      <c r="R26" s="73">
        <v>5290000000</v>
      </c>
      <c r="S26" s="226">
        <v>5.5892117483069943E-2</v>
      </c>
      <c r="T26" s="68">
        <v>2</v>
      </c>
      <c r="U26" s="73">
        <v>248400000</v>
      </c>
      <c r="V26" s="218">
        <v>3.3646342235918621E-3</v>
      </c>
      <c r="W26" s="27">
        <v>2</v>
      </c>
      <c r="X26" s="22">
        <v>12883000000</v>
      </c>
      <c r="Y26" s="216">
        <v>0.4021852805744166</v>
      </c>
      <c r="Z26" s="68"/>
      <c r="AA26" s="73"/>
      <c r="AB26" s="227"/>
      <c r="AC26" s="82"/>
      <c r="AD26" s="73"/>
      <c r="AE26" s="214"/>
      <c r="AF26" s="132"/>
      <c r="AG26" s="74"/>
      <c r="AH26" s="214"/>
      <c r="AI26" s="142"/>
      <c r="AJ26" s="73"/>
      <c r="AK26" s="216">
        <v>0</v>
      </c>
      <c r="AL26" s="137"/>
      <c r="AM26" s="73"/>
      <c r="AN26" s="216"/>
      <c r="AO26" s="137"/>
      <c r="AP26" s="73"/>
      <c r="AQ26" s="216"/>
      <c r="AR26" s="132">
        <v>91</v>
      </c>
      <c r="AS26" s="73">
        <v>184940030492</v>
      </c>
      <c r="AT26" s="234">
        <v>0.15955543740153488</v>
      </c>
    </row>
    <row r="27" spans="1:52" s="78" customFormat="1" x14ac:dyDescent="0.25">
      <c r="A27" s="79" t="s">
        <v>126</v>
      </c>
      <c r="B27" s="72">
        <v>9</v>
      </c>
      <c r="C27" s="73">
        <v>879080084</v>
      </c>
      <c r="D27" s="214">
        <v>4.0487441461181557E-3</v>
      </c>
      <c r="E27" s="68">
        <v>6</v>
      </c>
      <c r="F27" s="73">
        <v>3633812000</v>
      </c>
      <c r="G27" s="216">
        <v>4.545920504804888E-2</v>
      </c>
      <c r="H27" s="68">
        <v>6</v>
      </c>
      <c r="I27" s="73">
        <v>467220000</v>
      </c>
      <c r="J27" s="222">
        <v>1.5227194361613279E-2</v>
      </c>
      <c r="K27" s="68">
        <v>14</v>
      </c>
      <c r="L27" s="73">
        <v>28253221142</v>
      </c>
      <c r="M27" s="223">
        <v>7.0090153310585213E-2</v>
      </c>
      <c r="N27" s="68">
        <v>3</v>
      </c>
      <c r="O27" s="73">
        <v>162700000</v>
      </c>
      <c r="P27" s="224">
        <v>9.3408548656368547E-4</v>
      </c>
      <c r="Q27" s="68">
        <v>1</v>
      </c>
      <c r="R27" s="73">
        <v>400000000</v>
      </c>
      <c r="S27" s="226">
        <v>4.226247068663134E-3</v>
      </c>
      <c r="T27" s="68"/>
      <c r="U27" s="73"/>
      <c r="V27" s="218">
        <v>0</v>
      </c>
      <c r="W27" s="27">
        <v>1</v>
      </c>
      <c r="X27" s="22">
        <v>150000000</v>
      </c>
      <c r="Y27" s="216">
        <v>4.6827440880355892E-3</v>
      </c>
      <c r="Z27" s="68"/>
      <c r="AA27" s="73"/>
      <c r="AB27" s="227"/>
      <c r="AC27" s="82"/>
      <c r="AD27" s="73"/>
      <c r="AE27" s="214"/>
      <c r="AF27" s="112"/>
      <c r="AG27" s="63"/>
      <c r="AH27" s="214"/>
      <c r="AI27" s="21"/>
      <c r="AJ27" s="22"/>
      <c r="AK27" s="220">
        <v>0</v>
      </c>
      <c r="AL27" s="137"/>
      <c r="AM27" s="22"/>
      <c r="AN27" s="216"/>
      <c r="AO27" s="137"/>
      <c r="AP27" s="22"/>
      <c r="AQ27" s="216"/>
      <c r="AR27" s="132">
        <v>40</v>
      </c>
      <c r="AS27" s="73">
        <v>33946033226</v>
      </c>
      <c r="AT27" s="234">
        <v>2.9286651272914976E-2</v>
      </c>
      <c r="AU27" s="5"/>
    </row>
    <row r="28" spans="1:52" s="78" customFormat="1" x14ac:dyDescent="0.25">
      <c r="A28" s="79" t="s">
        <v>125</v>
      </c>
      <c r="B28" s="72">
        <v>8</v>
      </c>
      <c r="C28" s="73">
        <v>10109500000</v>
      </c>
      <c r="D28" s="214">
        <v>4.6560921684106193E-2</v>
      </c>
      <c r="E28" s="68">
        <v>20</v>
      </c>
      <c r="F28" s="73">
        <v>1703600000</v>
      </c>
      <c r="G28" s="216">
        <v>2.1312137699984499E-2</v>
      </c>
      <c r="H28" s="68">
        <v>6</v>
      </c>
      <c r="I28" s="73">
        <v>3144600000</v>
      </c>
      <c r="J28" s="222">
        <v>0.10248584262131141</v>
      </c>
      <c r="K28" s="68">
        <v>10</v>
      </c>
      <c r="L28" s="73">
        <v>25582875000</v>
      </c>
      <c r="M28" s="223">
        <v>6.3465599970474962E-2</v>
      </c>
      <c r="N28" s="68">
        <v>5</v>
      </c>
      <c r="O28" s="73">
        <f>2700000000+3000000000</f>
        <v>5700000000</v>
      </c>
      <c r="P28" s="224">
        <v>3.2724568367627584E-2</v>
      </c>
      <c r="Q28" s="68">
        <v>2</v>
      </c>
      <c r="R28" s="73">
        <v>396000000</v>
      </c>
      <c r="S28" s="226">
        <v>4.1839845979765025E-3</v>
      </c>
      <c r="T28" s="68">
        <v>9</v>
      </c>
      <c r="U28" s="73">
        <v>754551100</v>
      </c>
      <c r="V28" s="218">
        <v>1.0220565436831261E-2</v>
      </c>
      <c r="W28" s="27">
        <v>3</v>
      </c>
      <c r="X28" s="22">
        <v>60000000</v>
      </c>
      <c r="Y28" s="216">
        <v>1.8730976352142356E-3</v>
      </c>
      <c r="Z28" s="68"/>
      <c r="AA28" s="73"/>
      <c r="AB28" s="227"/>
      <c r="AC28" s="82"/>
      <c r="AD28" s="73"/>
      <c r="AE28" s="214"/>
      <c r="AF28" s="132"/>
      <c r="AG28" s="74"/>
      <c r="AH28" s="214"/>
      <c r="AI28" s="142"/>
      <c r="AJ28" s="73"/>
      <c r="AK28" s="216">
        <v>0</v>
      </c>
      <c r="AL28" s="137">
        <v>1</v>
      </c>
      <c r="AM28" s="73">
        <v>88056000</v>
      </c>
      <c r="AN28" s="216">
        <v>1</v>
      </c>
      <c r="AO28" s="137"/>
      <c r="AP28" s="73"/>
      <c r="AQ28" s="216"/>
      <c r="AR28" s="132">
        <v>64</v>
      </c>
      <c r="AS28" s="73">
        <v>47539182100</v>
      </c>
      <c r="AT28" s="234">
        <v>4.1014024781426808E-2</v>
      </c>
    </row>
    <row r="29" spans="1:52" s="78" customFormat="1" ht="21" customHeight="1" x14ac:dyDescent="0.25">
      <c r="A29" s="79" t="s">
        <v>124</v>
      </c>
      <c r="B29" s="72">
        <v>27</v>
      </c>
      <c r="C29" s="73">
        <v>56411806000</v>
      </c>
      <c r="D29" s="214">
        <v>0.25981360910282331</v>
      </c>
      <c r="E29" s="68">
        <v>14</v>
      </c>
      <c r="F29" s="73">
        <v>13360000000</v>
      </c>
      <c r="G29" s="216">
        <v>0.16713439755329473</v>
      </c>
      <c r="H29" s="68">
        <v>18</v>
      </c>
      <c r="I29" s="73">
        <v>10350165000</v>
      </c>
      <c r="J29" s="222">
        <v>0.3373228332044157</v>
      </c>
      <c r="K29" s="68">
        <v>18</v>
      </c>
      <c r="L29" s="73">
        <v>32921959250</v>
      </c>
      <c r="M29" s="223">
        <v>8.1672286480889186E-2</v>
      </c>
      <c r="N29" s="68">
        <v>12</v>
      </c>
      <c r="O29" s="73">
        <v>28664730000</v>
      </c>
      <c r="P29" s="224">
        <v>0.16456858186396234</v>
      </c>
      <c r="Q29" s="68">
        <v>14</v>
      </c>
      <c r="R29" s="73">
        <v>8791810000</v>
      </c>
      <c r="S29" s="226">
        <v>9.2890903101858061E-2</v>
      </c>
      <c r="T29" s="68">
        <v>11</v>
      </c>
      <c r="U29" s="73">
        <v>31034500000</v>
      </c>
      <c r="V29" s="218">
        <v>0.42036932694066681</v>
      </c>
      <c r="W29" s="27">
        <v>5</v>
      </c>
      <c r="X29" s="22">
        <f>8657000000+2000000000</f>
        <v>10657000000</v>
      </c>
      <c r="Y29" s="216">
        <v>0.27025677046749397</v>
      </c>
      <c r="Z29" s="68"/>
      <c r="AA29" s="73"/>
      <c r="AB29" s="227"/>
      <c r="AC29" s="82">
        <v>1</v>
      </c>
      <c r="AD29" s="73">
        <v>1000000000</v>
      </c>
      <c r="AE29" s="214">
        <v>1</v>
      </c>
      <c r="AF29" s="132"/>
      <c r="AG29" s="74"/>
      <c r="AH29" s="214"/>
      <c r="AI29" s="142"/>
      <c r="AJ29" s="73"/>
      <c r="AK29" s="216">
        <v>0</v>
      </c>
      <c r="AL29" s="137"/>
      <c r="AM29" s="73"/>
      <c r="AN29" s="214"/>
      <c r="AO29" s="137">
        <v>1</v>
      </c>
      <c r="AP29" s="73">
        <v>32782400</v>
      </c>
      <c r="AQ29" s="214">
        <v>1</v>
      </c>
      <c r="AR29" s="132">
        <v>120</v>
      </c>
      <c r="AS29" s="73">
        <v>191224752650</v>
      </c>
      <c r="AT29" s="234">
        <v>0.16497752795812851</v>
      </c>
    </row>
    <row r="30" spans="1:52" s="78" customFormat="1" ht="15.75" customHeight="1" x14ac:dyDescent="0.25">
      <c r="A30" s="79" t="s">
        <v>123</v>
      </c>
      <c r="B30" s="72">
        <v>20</v>
      </c>
      <c r="C30" s="73">
        <v>42822670300</v>
      </c>
      <c r="D30" s="214">
        <v>0.19722666780182999</v>
      </c>
      <c r="E30" s="68">
        <v>4</v>
      </c>
      <c r="F30" s="73">
        <v>1550000000</v>
      </c>
      <c r="G30" s="216">
        <v>1.9390592530509492E-2</v>
      </c>
      <c r="H30" s="68">
        <v>6</v>
      </c>
      <c r="I30" s="73">
        <v>2366036186</v>
      </c>
      <c r="J30" s="222">
        <v>7.7111623797851525E-2</v>
      </c>
      <c r="K30" s="68">
        <v>15</v>
      </c>
      <c r="L30" s="73">
        <v>16494524276</v>
      </c>
      <c r="M30" s="223">
        <v>4.0919360290972151E-2</v>
      </c>
      <c r="N30" s="68">
        <v>16</v>
      </c>
      <c r="O30" s="73">
        <v>22533916000</v>
      </c>
      <c r="P30" s="224">
        <v>0.12937064468989071</v>
      </c>
      <c r="Q30" s="68">
        <v>6</v>
      </c>
      <c r="R30" s="73">
        <v>10162900000</v>
      </c>
      <c r="S30" s="226">
        <v>0.10737731583529141</v>
      </c>
      <c r="T30" s="68">
        <v>14</v>
      </c>
      <c r="U30" s="73">
        <v>9961864000</v>
      </c>
      <c r="V30" s="218">
        <v>0.13493570267780886</v>
      </c>
      <c r="W30" s="27"/>
      <c r="X30" s="22"/>
      <c r="Y30" s="216">
        <v>0</v>
      </c>
      <c r="Z30" s="68"/>
      <c r="AA30" s="73"/>
      <c r="AB30" s="227"/>
      <c r="AC30" s="82"/>
      <c r="AD30" s="73"/>
      <c r="AE30" s="214"/>
      <c r="AF30" s="132"/>
      <c r="AG30" s="74"/>
      <c r="AH30" s="214"/>
      <c r="AI30" s="142"/>
      <c r="AJ30" s="73"/>
      <c r="AK30" s="216">
        <v>0</v>
      </c>
      <c r="AL30" s="137"/>
      <c r="AM30" s="73"/>
      <c r="AN30" s="214"/>
      <c r="AO30" s="137"/>
      <c r="AP30" s="73"/>
      <c r="AQ30" s="214"/>
      <c r="AR30" s="132">
        <v>81</v>
      </c>
      <c r="AS30" s="73">
        <v>105891910762</v>
      </c>
      <c r="AT30" s="234">
        <v>9.1357344832091764E-2</v>
      </c>
    </row>
    <row r="31" spans="1:52" s="78" customFormat="1" x14ac:dyDescent="0.25">
      <c r="A31" s="79" t="s">
        <v>122</v>
      </c>
      <c r="B31" s="72">
        <v>15</v>
      </c>
      <c r="C31" s="73">
        <v>10063000000</v>
      </c>
      <c r="D31" s="214">
        <v>4.6346758485302009E-2</v>
      </c>
      <c r="E31" s="68">
        <v>9</v>
      </c>
      <c r="F31" s="73">
        <f>3457000000+100000000</f>
        <v>3557000000</v>
      </c>
      <c r="G31" s="216">
        <v>4.4498282342595015E-2</v>
      </c>
      <c r="H31" s="68">
        <v>5</v>
      </c>
      <c r="I31" s="73">
        <v>836500000</v>
      </c>
      <c r="J31" s="222">
        <v>2.7262420451798955E-2</v>
      </c>
      <c r="K31" s="68">
        <v>15</v>
      </c>
      <c r="L31" s="73">
        <v>34984345847</v>
      </c>
      <c r="M31" s="223">
        <v>8.6788623200263815E-2</v>
      </c>
      <c r="N31" s="68">
        <v>21</v>
      </c>
      <c r="O31" s="73">
        <f>17990029499+550000000</f>
        <v>18540029499</v>
      </c>
      <c r="P31" s="224">
        <v>0.10644113383822064</v>
      </c>
      <c r="Q31" s="68">
        <v>8</v>
      </c>
      <c r="R31" s="73">
        <v>11818000000</v>
      </c>
      <c r="S31" s="226">
        <v>0.12486446964365229</v>
      </c>
      <c r="T31" s="68">
        <v>18</v>
      </c>
      <c r="U31" s="73">
        <v>8820422000</v>
      </c>
      <c r="V31" s="218">
        <v>0.11947461243044516</v>
      </c>
      <c r="W31" s="27">
        <v>2</v>
      </c>
      <c r="X31" s="22">
        <v>1292500000</v>
      </c>
      <c r="Y31" s="216">
        <v>4.0349644891906657E-2</v>
      </c>
      <c r="Z31" s="68"/>
      <c r="AA31" s="73"/>
      <c r="AB31" s="227"/>
      <c r="AC31" s="82"/>
      <c r="AD31" s="73"/>
      <c r="AE31" s="214"/>
      <c r="AF31" s="112"/>
      <c r="AG31" s="63"/>
      <c r="AH31" s="214"/>
      <c r="AI31" s="21"/>
      <c r="AJ31" s="22"/>
      <c r="AK31" s="220">
        <v>0</v>
      </c>
      <c r="AL31" s="137"/>
      <c r="AM31" s="22"/>
      <c r="AN31" s="219"/>
      <c r="AO31" s="137"/>
      <c r="AP31" s="22"/>
      <c r="AQ31" s="219"/>
      <c r="AR31" s="132">
        <v>93</v>
      </c>
      <c r="AS31" s="73">
        <v>89911797346</v>
      </c>
      <c r="AT31" s="234">
        <v>7.7570637978886664E-2</v>
      </c>
      <c r="AU31" s="5"/>
    </row>
    <row r="32" spans="1:52" x14ac:dyDescent="0.25">
      <c r="A32" s="47" t="s">
        <v>121</v>
      </c>
      <c r="B32" s="72">
        <v>10</v>
      </c>
      <c r="C32" s="73">
        <v>4434408000</v>
      </c>
      <c r="D32" s="214">
        <v>2.0423376388879172E-2</v>
      </c>
      <c r="E32" s="68">
        <v>10</v>
      </c>
      <c r="F32" s="73">
        <v>1070500000</v>
      </c>
      <c r="G32" s="216">
        <v>1.3392018905748653E-2</v>
      </c>
      <c r="H32" s="68">
        <v>5</v>
      </c>
      <c r="I32" s="73">
        <v>385151200</v>
      </c>
      <c r="J32" s="222">
        <v>1.2552485298164865E-2</v>
      </c>
      <c r="K32" s="1">
        <v>17</v>
      </c>
      <c r="L32" s="22">
        <v>45355763000</v>
      </c>
      <c r="M32" s="223">
        <v>0.11251787419958348</v>
      </c>
      <c r="N32" s="1"/>
      <c r="O32" s="22"/>
      <c r="P32" s="224">
        <v>0</v>
      </c>
      <c r="Q32" s="1">
        <v>5</v>
      </c>
      <c r="R32" s="22">
        <v>8694598000</v>
      </c>
      <c r="S32" s="225">
        <v>9.1863798276760861E-2</v>
      </c>
      <c r="T32" s="1">
        <v>4</v>
      </c>
      <c r="U32" s="22">
        <v>262551952</v>
      </c>
      <c r="V32" s="218">
        <v>3.5563256166266017E-3</v>
      </c>
      <c r="W32" s="27"/>
      <c r="X32" s="22"/>
      <c r="Y32" s="220">
        <v>0</v>
      </c>
      <c r="Z32" s="1"/>
      <c r="AA32" s="22"/>
      <c r="AB32" s="224"/>
      <c r="AC32" s="30"/>
      <c r="AD32" s="22"/>
      <c r="AE32" s="219"/>
      <c r="AF32" s="112"/>
      <c r="AG32" s="63"/>
      <c r="AH32" s="219"/>
      <c r="AI32" s="21"/>
      <c r="AJ32" s="22"/>
      <c r="AK32" s="220">
        <v>0</v>
      </c>
      <c r="AL32" s="138"/>
      <c r="AM32" s="22"/>
      <c r="AN32" s="219"/>
      <c r="AO32" s="138"/>
      <c r="AP32" s="22"/>
      <c r="AQ32" s="219"/>
      <c r="AR32" s="132">
        <v>51</v>
      </c>
      <c r="AS32" s="73">
        <v>60202972152</v>
      </c>
      <c r="AT32" s="233">
        <v>5.193960187543227E-2</v>
      </c>
      <c r="AX32" s="5"/>
      <c r="AY32" s="5"/>
      <c r="AZ32" s="5"/>
    </row>
    <row r="33" spans="1:52" ht="26.25" customHeight="1" x14ac:dyDescent="0.25">
      <c r="A33" s="47" t="s">
        <v>120</v>
      </c>
      <c r="B33" s="72">
        <v>11</v>
      </c>
      <c r="C33" s="73">
        <v>5550200000</v>
      </c>
      <c r="D33" s="214">
        <v>2.5562335182860302E-2</v>
      </c>
      <c r="E33" s="68">
        <v>9</v>
      </c>
      <c r="F33" s="73">
        <v>223826000</v>
      </c>
      <c r="G33" s="216">
        <v>2.8000766217637536E-3</v>
      </c>
      <c r="H33" s="68">
        <v>9</v>
      </c>
      <c r="I33" s="73">
        <v>782010000</v>
      </c>
      <c r="J33" s="222">
        <v>2.548653367305595E-2</v>
      </c>
      <c r="K33" s="1">
        <v>23</v>
      </c>
      <c r="L33" s="22">
        <v>26325670765.889999</v>
      </c>
      <c r="M33" s="223">
        <v>6.5308316199113731E-2</v>
      </c>
      <c r="N33" s="1">
        <v>1</v>
      </c>
      <c r="O33" s="22">
        <f>100000000</f>
        <v>100000000</v>
      </c>
      <c r="P33" s="224">
        <v>5.7411523451978211E-4</v>
      </c>
      <c r="Q33" s="1"/>
      <c r="R33" s="22"/>
      <c r="S33" s="225">
        <v>0</v>
      </c>
      <c r="T33" s="1">
        <v>5</v>
      </c>
      <c r="U33" s="22">
        <v>2798931392</v>
      </c>
      <c r="V33" s="218">
        <v>3.791215922306284E-2</v>
      </c>
      <c r="W33" s="27"/>
      <c r="X33" s="22"/>
      <c r="Y33" s="220">
        <v>0</v>
      </c>
      <c r="Z33" s="1"/>
      <c r="AA33" s="22"/>
      <c r="AB33" s="224"/>
      <c r="AC33" s="30"/>
      <c r="AD33" s="22"/>
      <c r="AE33" s="219"/>
      <c r="AF33" s="112"/>
      <c r="AG33" s="63"/>
      <c r="AH33" s="219"/>
      <c r="AI33" s="21"/>
      <c r="AJ33" s="22"/>
      <c r="AK33" s="220">
        <v>0</v>
      </c>
      <c r="AL33" s="138"/>
      <c r="AM33" s="22"/>
      <c r="AN33" s="219"/>
      <c r="AO33" s="138"/>
      <c r="AP33" s="22"/>
      <c r="AQ33" s="219"/>
      <c r="AR33" s="132">
        <v>58</v>
      </c>
      <c r="AS33" s="73">
        <v>35780638157.889999</v>
      </c>
      <c r="AT33" s="233">
        <v>3.0869441064762578E-2</v>
      </c>
      <c r="AX33" s="5"/>
      <c r="AY33" s="5"/>
      <c r="AZ33" s="5"/>
    </row>
    <row r="34" spans="1:52" s="78" customFormat="1" x14ac:dyDescent="0.25">
      <c r="A34" s="79" t="s">
        <v>119</v>
      </c>
      <c r="B34" s="72">
        <v>1</v>
      </c>
      <c r="C34" s="73">
        <v>100000000</v>
      </c>
      <c r="D34" s="214">
        <v>4.6056601893373753E-4</v>
      </c>
      <c r="E34" s="68">
        <v>9</v>
      </c>
      <c r="F34" s="73">
        <v>688000000</v>
      </c>
      <c r="G34" s="216">
        <v>8.6069210716067952E-3</v>
      </c>
      <c r="H34" s="68">
        <v>2</v>
      </c>
      <c r="I34" s="73">
        <v>105600000</v>
      </c>
      <c r="J34" s="222">
        <v>3.4416157796891447E-3</v>
      </c>
      <c r="K34" s="68">
        <v>26</v>
      </c>
      <c r="L34" s="73">
        <v>24451200000</v>
      </c>
      <c r="M34" s="223">
        <v>6.0658158162367498E-2</v>
      </c>
      <c r="N34" s="68">
        <v>11</v>
      </c>
      <c r="O34" s="73">
        <v>21489969000</v>
      </c>
      <c r="P34" s="224">
        <v>0.12337718592257847</v>
      </c>
      <c r="Q34" s="68"/>
      <c r="R34" s="73"/>
      <c r="S34" s="226">
        <v>0</v>
      </c>
      <c r="T34" s="68">
        <v>8</v>
      </c>
      <c r="U34" s="73">
        <v>8358000000</v>
      </c>
      <c r="V34" s="218">
        <v>0.11321100177447981</v>
      </c>
      <c r="W34" s="27">
        <v>2</v>
      </c>
      <c r="X34" s="22">
        <v>250000000</v>
      </c>
      <c r="Y34" s="216">
        <v>7.8045734800593148E-3</v>
      </c>
      <c r="Z34" s="68"/>
      <c r="AA34" s="73"/>
      <c r="AB34" s="227"/>
      <c r="AC34" s="82"/>
      <c r="AD34" s="73"/>
      <c r="AE34" s="214"/>
      <c r="AF34" s="132"/>
      <c r="AG34" s="74"/>
      <c r="AH34" s="214"/>
      <c r="AI34" s="142"/>
      <c r="AJ34" s="73"/>
      <c r="AK34" s="216">
        <v>0</v>
      </c>
      <c r="AL34" s="137"/>
      <c r="AM34" s="73"/>
      <c r="AN34" s="214"/>
      <c r="AO34" s="137"/>
      <c r="AP34" s="73"/>
      <c r="AQ34" s="214"/>
      <c r="AR34" s="132">
        <v>59</v>
      </c>
      <c r="AS34" s="73">
        <v>55442769000</v>
      </c>
      <c r="AT34" s="234">
        <v>4.7832777117066176E-2</v>
      </c>
    </row>
    <row r="35" spans="1:52" s="78" customFormat="1" ht="14.25" customHeight="1" x14ac:dyDescent="0.25">
      <c r="A35" s="79" t="s">
        <v>118</v>
      </c>
      <c r="B35" s="72">
        <v>28</v>
      </c>
      <c r="C35" s="73">
        <v>21025731475</v>
      </c>
      <c r="D35" s="214">
        <v>9.6837374406105306E-2</v>
      </c>
      <c r="E35" s="68">
        <v>15</v>
      </c>
      <c r="F35" s="73">
        <v>1957765300</v>
      </c>
      <c r="G35" s="216">
        <v>2.4491760775916568E-2</v>
      </c>
      <c r="H35" s="68">
        <v>9</v>
      </c>
      <c r="I35" s="73">
        <v>6348080000</v>
      </c>
      <c r="J35" s="222">
        <v>0.20689064676826768</v>
      </c>
      <c r="K35" s="68">
        <v>12</v>
      </c>
      <c r="L35" s="73">
        <v>3107500000</v>
      </c>
      <c r="M35" s="223">
        <v>7.7090378586554846E-3</v>
      </c>
      <c r="N35" s="68"/>
      <c r="O35" s="73"/>
      <c r="P35" s="224">
        <v>0</v>
      </c>
      <c r="Q35" s="68">
        <v>8</v>
      </c>
      <c r="R35" s="73">
        <v>12728500000</v>
      </c>
      <c r="S35" s="226">
        <v>0.13448446453369675</v>
      </c>
      <c r="T35" s="68">
        <v>5</v>
      </c>
      <c r="U35" s="73">
        <v>606000000</v>
      </c>
      <c r="V35" s="218">
        <v>8.2084071638352189E-3</v>
      </c>
      <c r="W35" s="27">
        <v>4</v>
      </c>
      <c r="X35" s="22">
        <v>1090000000</v>
      </c>
      <c r="Y35" s="216">
        <v>3.4027940373058611E-2</v>
      </c>
      <c r="Z35" s="68"/>
      <c r="AA35" s="73"/>
      <c r="AB35" s="227"/>
      <c r="AC35" s="82"/>
      <c r="AD35" s="73"/>
      <c r="AE35" s="214"/>
      <c r="AF35" s="112"/>
      <c r="AG35" s="63"/>
      <c r="AH35" s="214"/>
      <c r="AI35" s="21"/>
      <c r="AJ35" s="22"/>
      <c r="AK35" s="220">
        <v>0</v>
      </c>
      <c r="AL35" s="137"/>
      <c r="AM35" s="22"/>
      <c r="AN35" s="219"/>
      <c r="AO35" s="137"/>
      <c r="AP35" s="22"/>
      <c r="AQ35" s="219"/>
      <c r="AR35" s="132">
        <v>81</v>
      </c>
      <c r="AS35" s="73">
        <v>46863576775</v>
      </c>
      <c r="AT35" s="234">
        <v>4.043115203692467E-2</v>
      </c>
      <c r="AU35" s="5"/>
    </row>
    <row r="36" spans="1:52" s="78" customFormat="1" ht="20.25" customHeight="1" x14ac:dyDescent="0.25">
      <c r="A36" s="79" t="s">
        <v>117</v>
      </c>
      <c r="B36" s="72">
        <v>7</v>
      </c>
      <c r="C36" s="73">
        <v>940300000</v>
      </c>
      <c r="D36" s="214">
        <v>4.3307022760339341E-3</v>
      </c>
      <c r="E36" s="68">
        <v>7</v>
      </c>
      <c r="F36" s="73">
        <v>1089000000</v>
      </c>
      <c r="G36" s="216">
        <v>1.3623455010145058E-2</v>
      </c>
      <c r="H36" s="68"/>
      <c r="I36" s="73"/>
      <c r="J36" s="222">
        <v>0</v>
      </c>
      <c r="K36" s="68">
        <v>17</v>
      </c>
      <c r="L36" s="73">
        <v>7999328256</v>
      </c>
      <c r="M36" s="223">
        <v>1.9844609612008544E-2</v>
      </c>
      <c r="N36" s="68"/>
      <c r="O36" s="73"/>
      <c r="P36" s="224">
        <v>0</v>
      </c>
      <c r="Q36" s="68">
        <v>3</v>
      </c>
      <c r="R36" s="73">
        <v>481000000</v>
      </c>
      <c r="S36" s="226">
        <v>5.0820621000674179E-3</v>
      </c>
      <c r="T36" s="68">
        <v>10</v>
      </c>
      <c r="U36" s="73">
        <v>1527000000</v>
      </c>
      <c r="V36" s="218">
        <v>2.0683560625703597E-2</v>
      </c>
      <c r="W36" s="27"/>
      <c r="X36" s="22"/>
      <c r="Y36" s="216">
        <v>0</v>
      </c>
      <c r="Z36" s="68"/>
      <c r="AA36" s="73"/>
      <c r="AB36" s="227"/>
      <c r="AC36" s="82"/>
      <c r="AD36" s="73"/>
      <c r="AE36" s="214"/>
      <c r="AF36" s="112"/>
      <c r="AG36" s="63"/>
      <c r="AH36" s="214"/>
      <c r="AI36" s="21"/>
      <c r="AJ36" s="22"/>
      <c r="AK36" s="220">
        <v>0</v>
      </c>
      <c r="AL36" s="137"/>
      <c r="AM36" s="22"/>
      <c r="AN36" s="219"/>
      <c r="AO36" s="137"/>
      <c r="AP36" s="22"/>
      <c r="AQ36" s="219"/>
      <c r="AR36" s="132">
        <v>44</v>
      </c>
      <c r="AS36" s="73">
        <v>12036628256</v>
      </c>
      <c r="AT36" s="234">
        <v>1.0384498591876408E-2</v>
      </c>
      <c r="AU36" s="5"/>
    </row>
    <row r="37" spans="1:52" s="78" customFormat="1" x14ac:dyDescent="0.25">
      <c r="A37" s="79" t="s">
        <v>116</v>
      </c>
      <c r="B37" s="72">
        <v>5</v>
      </c>
      <c r="C37" s="73">
        <v>318196616</v>
      </c>
      <c r="D37" s="214">
        <v>1.4655054866930721E-3</v>
      </c>
      <c r="E37" s="68">
        <v>5</v>
      </c>
      <c r="F37" s="73">
        <v>10877500000</v>
      </c>
      <c r="G37" s="216">
        <v>0.13607817435523678</v>
      </c>
      <c r="H37" s="68">
        <v>11</v>
      </c>
      <c r="I37" s="73">
        <v>1120000000</v>
      </c>
      <c r="J37" s="222">
        <v>3.6501985542157597E-2</v>
      </c>
      <c r="K37" s="68">
        <v>25</v>
      </c>
      <c r="L37" s="73">
        <v>10708119550</v>
      </c>
      <c r="M37" s="223">
        <v>2.6564537089608667E-2</v>
      </c>
      <c r="N37" s="68">
        <v>3</v>
      </c>
      <c r="O37" s="73">
        <v>935000000</v>
      </c>
      <c r="P37" s="224">
        <v>5.3679774427599627E-3</v>
      </c>
      <c r="Q37" s="68">
        <v>4</v>
      </c>
      <c r="R37" s="73">
        <v>545000000</v>
      </c>
      <c r="S37" s="226">
        <v>5.75826163105352E-3</v>
      </c>
      <c r="T37" s="68">
        <v>10</v>
      </c>
      <c r="U37" s="73">
        <v>2105803450</v>
      </c>
      <c r="V37" s="218">
        <v>2.8523584364041121E-2</v>
      </c>
      <c r="W37" s="27">
        <v>1</v>
      </c>
      <c r="X37" s="22">
        <v>100000000</v>
      </c>
      <c r="Y37" s="216">
        <v>3.121829392023726E-3</v>
      </c>
      <c r="Z37" s="68">
        <v>1</v>
      </c>
      <c r="AA37" s="73">
        <v>15500000</v>
      </c>
      <c r="AB37" s="227">
        <v>0.38271604938271603</v>
      </c>
      <c r="AC37" s="82"/>
      <c r="AD37" s="73"/>
      <c r="AE37" s="214"/>
      <c r="AF37" s="132"/>
      <c r="AG37" s="74"/>
      <c r="AH37" s="214"/>
      <c r="AI37" s="142"/>
      <c r="AJ37" s="73"/>
      <c r="AK37" s="216">
        <v>0</v>
      </c>
      <c r="AL37" s="137"/>
      <c r="AM37" s="73"/>
      <c r="AN37" s="214"/>
      <c r="AO37" s="137"/>
      <c r="AP37" s="73"/>
      <c r="AQ37" s="214"/>
      <c r="AR37" s="132">
        <v>65</v>
      </c>
      <c r="AS37" s="73">
        <v>26725119616</v>
      </c>
      <c r="AT37" s="234">
        <v>2.30568695084306E-2</v>
      </c>
    </row>
    <row r="38" spans="1:52" x14ac:dyDescent="0.25">
      <c r="A38" s="47" t="s">
        <v>115</v>
      </c>
      <c r="B38" s="72">
        <v>3</v>
      </c>
      <c r="C38" s="73">
        <v>583700000</v>
      </c>
      <c r="D38" s="214">
        <v>2.6883238525162259E-3</v>
      </c>
      <c r="E38" s="68">
        <v>8</v>
      </c>
      <c r="F38" s="73">
        <f>339856000+500000000+500000000</f>
        <v>1339856000</v>
      </c>
      <c r="G38" s="216">
        <v>1.0506648696970053E-2</v>
      </c>
      <c r="H38" s="68">
        <v>2</v>
      </c>
      <c r="I38" s="73">
        <v>881000000</v>
      </c>
      <c r="J38" s="222">
        <v>2.8712722555929323E-2</v>
      </c>
      <c r="K38" s="1">
        <v>9</v>
      </c>
      <c r="L38" s="22">
        <v>4796000000</v>
      </c>
      <c r="M38" s="223">
        <v>1.18978425004382E-2</v>
      </c>
      <c r="N38" s="1">
        <v>11</v>
      </c>
      <c r="O38" s="22">
        <v>4800000000</v>
      </c>
      <c r="P38" s="224">
        <v>2.7557531256949541E-2</v>
      </c>
      <c r="Q38" s="1">
        <v>9</v>
      </c>
      <c r="R38" s="22">
        <v>1659498139</v>
      </c>
      <c r="S38" s="225">
        <v>1.7533622863501689E-2</v>
      </c>
      <c r="T38" s="1">
        <v>4</v>
      </c>
      <c r="U38" s="22">
        <v>512593233.00999999</v>
      </c>
      <c r="V38" s="218">
        <v>6.9431913629913189E-3</v>
      </c>
      <c r="W38" s="27"/>
      <c r="X38" s="22"/>
      <c r="Y38" s="220">
        <v>0</v>
      </c>
      <c r="Z38" s="1"/>
      <c r="AA38" s="22"/>
      <c r="AB38" s="224"/>
      <c r="AC38" s="30"/>
      <c r="AD38" s="22"/>
      <c r="AE38" s="219"/>
      <c r="AF38" s="112">
        <v>1</v>
      </c>
      <c r="AG38" s="63">
        <v>47182542440</v>
      </c>
      <c r="AH38" s="219">
        <v>0.90613953136180725</v>
      </c>
      <c r="AI38" s="21"/>
      <c r="AJ38" s="22"/>
      <c r="AK38" s="220">
        <v>0</v>
      </c>
      <c r="AL38" s="138"/>
      <c r="AM38" s="22"/>
      <c r="AN38" s="219"/>
      <c r="AO38" s="138"/>
      <c r="AP38" s="22"/>
      <c r="AQ38" s="219"/>
      <c r="AR38" s="132">
        <v>46</v>
      </c>
      <c r="AS38" s="73">
        <v>61255189812.010002</v>
      </c>
      <c r="AT38" s="233">
        <v>5.2847393706859362E-2</v>
      </c>
      <c r="AX38" s="5"/>
      <c r="AY38" s="5"/>
      <c r="AZ38" s="5"/>
    </row>
    <row r="39" spans="1:52" x14ac:dyDescent="0.25">
      <c r="A39" s="47" t="s">
        <v>114</v>
      </c>
      <c r="B39" s="72">
        <v>10</v>
      </c>
      <c r="C39" s="73">
        <v>15750000000</v>
      </c>
      <c r="D39" s="214">
        <v>7.2539147982063665E-2</v>
      </c>
      <c r="E39" s="87">
        <v>9</v>
      </c>
      <c r="F39" s="73">
        <v>1896208300</v>
      </c>
      <c r="G39" s="216">
        <v>2.3721679031142005E-2</v>
      </c>
      <c r="H39" s="87">
        <v>4</v>
      </c>
      <c r="I39" s="73">
        <v>91100000</v>
      </c>
      <c r="J39" s="222">
        <v>2.9690454311522832E-3</v>
      </c>
      <c r="K39" s="8">
        <v>15</v>
      </c>
      <c r="L39" s="22">
        <v>28405126660</v>
      </c>
      <c r="M39" s="223">
        <v>7.0466998166321557E-2</v>
      </c>
      <c r="N39" s="8">
        <v>3</v>
      </c>
      <c r="O39" s="22">
        <v>4150000000</v>
      </c>
      <c r="P39" s="224">
        <v>2.3825782232570959E-2</v>
      </c>
      <c r="Q39" s="8">
        <v>3</v>
      </c>
      <c r="R39" s="22">
        <v>9631908000</v>
      </c>
      <c r="S39" s="225">
        <v>0.10176705737658247</v>
      </c>
      <c r="T39" s="8">
        <v>10</v>
      </c>
      <c r="U39" s="22">
        <v>848000000</v>
      </c>
      <c r="V39" s="218">
        <v>1.1486351938832122E-2</v>
      </c>
      <c r="W39" s="27">
        <v>2</v>
      </c>
      <c r="X39" s="22">
        <v>1810000000</v>
      </c>
      <c r="Y39" s="220">
        <v>5.6505111995629437E-2</v>
      </c>
      <c r="Z39" s="8"/>
      <c r="AA39" s="22"/>
      <c r="AB39" s="228"/>
      <c r="AC39" s="30"/>
      <c r="AD39" s="22"/>
      <c r="AE39" s="219"/>
      <c r="AF39" s="112">
        <v>1</v>
      </c>
      <c r="AG39" s="63">
        <v>4887299794</v>
      </c>
      <c r="AH39" s="219">
        <v>9.3860468638192723E-2</v>
      </c>
      <c r="AI39" s="21"/>
      <c r="AJ39" s="22"/>
      <c r="AK39" s="220">
        <v>0</v>
      </c>
      <c r="AL39" s="138"/>
      <c r="AM39" s="22"/>
      <c r="AN39" s="219"/>
      <c r="AO39" s="138"/>
      <c r="AP39" s="22"/>
      <c r="AQ39" s="219"/>
      <c r="AR39" s="132">
        <v>57</v>
      </c>
      <c r="AS39" s="73">
        <v>67469642754</v>
      </c>
      <c r="AT39" s="233">
        <v>5.820886009535637E-2</v>
      </c>
      <c r="AX39" s="5"/>
      <c r="AY39" s="5"/>
      <c r="AZ39" s="5"/>
    </row>
    <row r="40" spans="1:52" s="78" customFormat="1" x14ac:dyDescent="0.25">
      <c r="A40" s="79" t="s">
        <v>113</v>
      </c>
      <c r="B40" s="72">
        <v>6</v>
      </c>
      <c r="C40" s="73">
        <v>1130000000</v>
      </c>
      <c r="D40" s="214">
        <v>5.2043960139512343E-3</v>
      </c>
      <c r="E40" s="87">
        <v>12</v>
      </c>
      <c r="F40" s="73">
        <f>6958994000+400000000</f>
        <v>7358994000</v>
      </c>
      <c r="G40" s="216">
        <v>9.2061454250622052E-2</v>
      </c>
      <c r="H40" s="87">
        <v>5</v>
      </c>
      <c r="I40" s="73">
        <v>458500000</v>
      </c>
      <c r="J40" s="214">
        <v>1.4943000331320766E-2</v>
      </c>
      <c r="K40" s="87">
        <v>15</v>
      </c>
      <c r="L40" s="73">
        <v>21203038720</v>
      </c>
      <c r="M40" s="223">
        <v>5.2600169979410499E-2</v>
      </c>
      <c r="N40" s="87">
        <v>4</v>
      </c>
      <c r="O40" s="73">
        <v>10479000000</v>
      </c>
      <c r="P40" s="224">
        <v>6.0161535425327969E-2</v>
      </c>
      <c r="Q40" s="68">
        <v>6</v>
      </c>
      <c r="R40" s="73">
        <v>700000000</v>
      </c>
      <c r="S40" s="226">
        <v>7.3959323701604839E-3</v>
      </c>
      <c r="T40" s="87">
        <v>15</v>
      </c>
      <c r="U40" s="73">
        <v>3488130000</v>
      </c>
      <c r="V40" s="218">
        <v>4.7247510363677463E-2</v>
      </c>
      <c r="W40" s="27">
        <v>2</v>
      </c>
      <c r="X40" s="22">
        <v>3700000000</v>
      </c>
      <c r="Y40" s="216">
        <v>0.11550768750487786</v>
      </c>
      <c r="Z40" s="87"/>
      <c r="AA40" s="73"/>
      <c r="AB40" s="229"/>
      <c r="AC40" s="89"/>
      <c r="AD40" s="73"/>
      <c r="AE40" s="214"/>
      <c r="AF40" s="132"/>
      <c r="AG40" s="74"/>
      <c r="AH40" s="214"/>
      <c r="AI40" s="142">
        <v>1</v>
      </c>
      <c r="AJ40" s="73">
        <v>336286250</v>
      </c>
      <c r="AK40" s="216">
        <v>1</v>
      </c>
      <c r="AL40" s="158"/>
      <c r="AM40" s="86"/>
      <c r="AN40" s="218"/>
      <c r="AO40" s="158"/>
      <c r="AP40" s="86"/>
      <c r="AQ40" s="218"/>
      <c r="AR40" s="132">
        <v>66</v>
      </c>
      <c r="AS40" s="73">
        <v>48853948970</v>
      </c>
      <c r="AT40" s="234">
        <v>4.2148328709385612E-2</v>
      </c>
    </row>
    <row r="41" spans="1:52" x14ac:dyDescent="0.25">
      <c r="A41" s="47" t="s">
        <v>112</v>
      </c>
      <c r="B41" s="72">
        <v>1</v>
      </c>
      <c r="C41" s="73">
        <v>440000000</v>
      </c>
      <c r="D41" s="214"/>
      <c r="E41" s="87">
        <v>1</v>
      </c>
      <c r="F41" s="73">
        <v>300000000</v>
      </c>
      <c r="G41" s="216">
        <v>3.75301790913087E-3</v>
      </c>
      <c r="H41" s="87"/>
      <c r="I41" s="73"/>
      <c r="J41" s="214">
        <v>0</v>
      </c>
      <c r="K41" s="8"/>
      <c r="L41" s="22"/>
      <c r="M41" s="223">
        <v>0</v>
      </c>
      <c r="N41" s="8">
        <v>1</v>
      </c>
      <c r="O41" s="22">
        <v>650000000</v>
      </c>
      <c r="P41" s="224">
        <v>3.7317490243785837E-3</v>
      </c>
      <c r="Q41" s="64">
        <v>2</v>
      </c>
      <c r="R41" s="22">
        <v>450000000</v>
      </c>
      <c r="S41" s="226">
        <v>4.7545279522460257E-3</v>
      </c>
      <c r="T41" s="8"/>
      <c r="U41" s="22"/>
      <c r="V41" s="218">
        <v>0</v>
      </c>
      <c r="W41" s="27"/>
      <c r="X41" s="22"/>
      <c r="Y41" s="220">
        <v>0</v>
      </c>
      <c r="Z41" s="8"/>
      <c r="AA41" s="22"/>
      <c r="AB41" s="228"/>
      <c r="AC41" s="204"/>
      <c r="AD41" s="22"/>
      <c r="AE41" s="219"/>
      <c r="AF41" s="112"/>
      <c r="AG41" s="63"/>
      <c r="AH41" s="219"/>
      <c r="AI41" s="21"/>
      <c r="AJ41" s="22"/>
      <c r="AK41" s="220"/>
      <c r="AL41" s="205"/>
      <c r="AM41" s="195"/>
      <c r="AN41" s="232"/>
      <c r="AO41" s="205"/>
      <c r="AP41" s="195"/>
      <c r="AQ41" s="232"/>
      <c r="AR41" s="132">
        <v>5</v>
      </c>
      <c r="AS41" s="73">
        <v>1840000000</v>
      </c>
      <c r="AT41" s="234">
        <v>1.5874443409455571E-3</v>
      </c>
      <c r="AX41" s="5"/>
      <c r="AY41" s="5"/>
      <c r="AZ41" s="5"/>
    </row>
    <row r="42" spans="1:52" s="78" customFormat="1" ht="15.75" thickBot="1" x14ac:dyDescent="0.3">
      <c r="A42" s="85" t="s">
        <v>111</v>
      </c>
      <c r="B42" s="197"/>
      <c r="C42" s="119"/>
      <c r="D42" s="214">
        <v>0</v>
      </c>
      <c r="E42" s="163">
        <v>2</v>
      </c>
      <c r="F42" s="159">
        <v>558782000</v>
      </c>
      <c r="G42" s="221">
        <v>6.9903961776665519E-3</v>
      </c>
      <c r="H42" s="163"/>
      <c r="I42" s="164"/>
      <c r="J42" s="214">
        <v>0</v>
      </c>
      <c r="K42" s="163"/>
      <c r="L42" s="159"/>
      <c r="M42" s="223">
        <v>0</v>
      </c>
      <c r="N42" s="163"/>
      <c r="O42" s="161"/>
      <c r="P42" s="224">
        <v>0</v>
      </c>
      <c r="Q42" s="160">
        <v>4</v>
      </c>
      <c r="R42" s="161">
        <v>700000000</v>
      </c>
      <c r="S42" s="226">
        <v>7.3959323701604839E-3</v>
      </c>
      <c r="T42" s="163">
        <v>2</v>
      </c>
      <c r="U42" s="161">
        <v>375000000</v>
      </c>
      <c r="V42" s="218">
        <v>5.0794598786109025E-3</v>
      </c>
      <c r="W42" s="27"/>
      <c r="X42" s="22"/>
      <c r="Y42" s="216">
        <v>0</v>
      </c>
      <c r="Z42" s="163"/>
      <c r="AA42" s="161"/>
      <c r="AB42" s="217"/>
      <c r="AC42" s="165"/>
      <c r="AD42" s="161"/>
      <c r="AE42" s="231"/>
      <c r="AF42" s="165"/>
      <c r="AG42" s="159"/>
      <c r="AH42" s="217"/>
      <c r="AI42" s="162"/>
      <c r="AJ42" s="154"/>
      <c r="AK42" s="216">
        <v>0</v>
      </c>
      <c r="AL42" s="166"/>
      <c r="AM42" s="119"/>
      <c r="AN42" s="217"/>
      <c r="AO42" s="166"/>
      <c r="AP42" s="119"/>
      <c r="AQ42" s="217"/>
      <c r="AR42" s="132">
        <v>8</v>
      </c>
      <c r="AS42" s="73">
        <v>1633782000</v>
      </c>
      <c r="AT42" s="234">
        <v>1.4095315164340838E-3</v>
      </c>
    </row>
    <row r="43" spans="1:52" s="18" customFormat="1" ht="28.5" customHeight="1" thickBot="1" x14ac:dyDescent="0.3">
      <c r="A43" s="15" t="s">
        <v>73</v>
      </c>
      <c r="B43" s="175">
        <f t="shared" ref="B43:AT43" si="3">SUM(B24:B42)</f>
        <v>197</v>
      </c>
      <c r="C43" s="121">
        <f t="shared" si="3"/>
        <v>217124138319</v>
      </c>
      <c r="D43" s="176">
        <f t="shared" si="3"/>
        <v>0.99797350951669161</v>
      </c>
      <c r="E43" s="170">
        <f t="shared" si="3"/>
        <v>182</v>
      </c>
      <c r="F43" s="121">
        <f t="shared" si="3"/>
        <v>80435669710</v>
      </c>
      <c r="G43" s="176">
        <f t="shared" si="3"/>
        <v>0.99999999999999989</v>
      </c>
      <c r="H43" s="170">
        <f t="shared" si="3"/>
        <v>105</v>
      </c>
      <c r="I43" s="121">
        <f t="shared" si="3"/>
        <v>30683262386</v>
      </c>
      <c r="J43" s="176">
        <f t="shared" si="3"/>
        <v>1</v>
      </c>
      <c r="K43" s="41">
        <f t="shared" si="3"/>
        <v>308</v>
      </c>
      <c r="L43" s="25">
        <f t="shared" si="3"/>
        <v>403098292805.89001</v>
      </c>
      <c r="M43" s="16">
        <f t="shared" si="3"/>
        <v>1</v>
      </c>
      <c r="N43" s="167">
        <f t="shared" si="3"/>
        <v>113</v>
      </c>
      <c r="O43" s="23">
        <f t="shared" si="3"/>
        <v>176781059807</v>
      </c>
      <c r="P43" s="16">
        <f t="shared" si="3"/>
        <v>1.0000000000000002</v>
      </c>
      <c r="Q43" s="41">
        <f t="shared" si="3"/>
        <v>107</v>
      </c>
      <c r="R43" s="23">
        <f t="shared" si="3"/>
        <v>94646619921</v>
      </c>
      <c r="S43" s="16">
        <f t="shared" si="3"/>
        <v>1</v>
      </c>
      <c r="T43" s="41">
        <f t="shared" si="3"/>
        <v>140</v>
      </c>
      <c r="U43" s="23">
        <f t="shared" si="3"/>
        <v>73826747127.009995</v>
      </c>
      <c r="V43" s="7">
        <f t="shared" si="3"/>
        <v>1</v>
      </c>
      <c r="W43" s="261">
        <f t="shared" si="3"/>
        <v>26</v>
      </c>
      <c r="X43" s="23">
        <f t="shared" si="3"/>
        <v>34032500000</v>
      </c>
      <c r="Y43" s="7">
        <f t="shared" si="3"/>
        <v>1.0000000000000002</v>
      </c>
      <c r="Z43" s="41">
        <f t="shared" si="3"/>
        <v>2</v>
      </c>
      <c r="AA43" s="23">
        <f t="shared" si="3"/>
        <v>40500000</v>
      </c>
      <c r="AB43" s="13">
        <f t="shared" si="3"/>
        <v>1</v>
      </c>
      <c r="AC43" s="17">
        <f t="shared" si="3"/>
        <v>1</v>
      </c>
      <c r="AD43" s="23">
        <f t="shared" si="3"/>
        <v>1000000000</v>
      </c>
      <c r="AE43" s="7">
        <f t="shared" si="3"/>
        <v>1</v>
      </c>
      <c r="AF43" s="17">
        <f t="shared" si="3"/>
        <v>2</v>
      </c>
      <c r="AG43" s="23">
        <f t="shared" si="3"/>
        <v>52069842234</v>
      </c>
      <c r="AH43" s="13">
        <f t="shared" si="3"/>
        <v>1</v>
      </c>
      <c r="AI43" s="145">
        <f t="shared" si="3"/>
        <v>1</v>
      </c>
      <c r="AJ43" s="129">
        <f t="shared" si="3"/>
        <v>336286250</v>
      </c>
      <c r="AK43" s="133">
        <f t="shared" si="3"/>
        <v>1</v>
      </c>
      <c r="AL43" s="145">
        <f t="shared" si="3"/>
        <v>1</v>
      </c>
      <c r="AM43" s="129">
        <f t="shared" si="3"/>
        <v>88056000</v>
      </c>
      <c r="AN43" s="127">
        <f t="shared" si="3"/>
        <v>1</v>
      </c>
      <c r="AO43" s="145">
        <f t="shared" si="3"/>
        <v>1</v>
      </c>
      <c r="AP43" s="129">
        <f t="shared" si="3"/>
        <v>32782400</v>
      </c>
      <c r="AQ43" s="127">
        <f t="shared" si="3"/>
        <v>1</v>
      </c>
      <c r="AR43" s="144">
        <f t="shared" si="3"/>
        <v>1183</v>
      </c>
      <c r="AS43" s="23">
        <f t="shared" si="3"/>
        <v>1159095756959.8999</v>
      </c>
      <c r="AT43" s="13">
        <f t="shared" si="3"/>
        <v>0.99999999999999989</v>
      </c>
      <c r="AU43" s="110"/>
    </row>
    <row r="44" spans="1:52" x14ac:dyDescent="0.25">
      <c r="A44" s="44"/>
      <c r="B44" s="168"/>
      <c r="C44" s="168"/>
      <c r="D44" s="168"/>
      <c r="E44" s="168"/>
      <c r="F44" s="168"/>
      <c r="G44" s="168"/>
      <c r="H44" s="168"/>
      <c r="I44" s="168"/>
      <c r="J44" s="168"/>
      <c r="K44" s="44"/>
      <c r="L44" s="44"/>
      <c r="M44" s="44"/>
      <c r="N44" s="44"/>
      <c r="O44" s="44"/>
      <c r="AU44" s="6"/>
      <c r="AV44" s="6"/>
      <c r="AW44" s="6"/>
      <c r="AX44" s="5"/>
      <c r="AY44" s="5"/>
      <c r="AZ44" s="5"/>
    </row>
    <row r="45" spans="1:52" ht="16.5" customHeight="1" thickBot="1" x14ac:dyDescent="0.3">
      <c r="A45" s="267" t="s">
        <v>110</v>
      </c>
      <c r="B45" s="267"/>
      <c r="C45" s="267"/>
      <c r="D45" s="267"/>
      <c r="E45" s="267"/>
      <c r="F45" s="267"/>
      <c r="G45" s="267"/>
      <c r="H45" s="267"/>
      <c r="I45" s="267"/>
      <c r="J45" s="267"/>
      <c r="K45" s="44"/>
      <c r="L45" s="44"/>
      <c r="M45" s="44"/>
      <c r="N45" s="44"/>
      <c r="O45" s="44"/>
      <c r="AU45" s="6"/>
      <c r="AV45" s="6"/>
      <c r="AW45" s="6"/>
      <c r="AX45" s="5"/>
      <c r="AY45" s="5"/>
      <c r="AZ45" s="5"/>
    </row>
    <row r="46" spans="1:52" ht="42.75" customHeight="1" thickBot="1" x14ac:dyDescent="0.3">
      <c r="A46" s="273" t="s">
        <v>109</v>
      </c>
      <c r="B46" s="276" t="s">
        <v>108</v>
      </c>
      <c r="C46" s="277"/>
      <c r="D46" s="278"/>
      <c r="E46" s="276" t="s">
        <v>94</v>
      </c>
      <c r="F46" s="277"/>
      <c r="G46" s="278"/>
      <c r="H46" s="276" t="s">
        <v>93</v>
      </c>
      <c r="I46" s="277"/>
      <c r="J46" s="278"/>
      <c r="K46" s="282" t="s">
        <v>92</v>
      </c>
      <c r="L46" s="283"/>
      <c r="M46" s="284"/>
      <c r="N46" s="270" t="s">
        <v>107</v>
      </c>
      <c r="O46" s="271"/>
      <c r="P46" s="272"/>
      <c r="Q46" s="270" t="s">
        <v>90</v>
      </c>
      <c r="R46" s="271"/>
      <c r="S46" s="272"/>
      <c r="T46" s="270" t="s">
        <v>106</v>
      </c>
      <c r="U46" s="271"/>
      <c r="V46" s="272"/>
      <c r="W46" s="282" t="s">
        <v>105</v>
      </c>
      <c r="X46" s="283"/>
      <c r="Y46" s="284"/>
      <c r="Z46" s="270" t="s">
        <v>87</v>
      </c>
      <c r="AA46" s="271"/>
      <c r="AB46" s="271"/>
      <c r="AC46" s="270" t="s">
        <v>86</v>
      </c>
      <c r="AD46" s="271"/>
      <c r="AE46" s="271"/>
      <c r="AF46" s="273" t="s">
        <v>85</v>
      </c>
      <c r="AG46" s="274"/>
      <c r="AH46" s="275"/>
      <c r="AI46" s="273" t="s">
        <v>104</v>
      </c>
      <c r="AJ46" s="274"/>
      <c r="AK46" s="275"/>
      <c r="AL46" s="270" t="s">
        <v>103</v>
      </c>
      <c r="AM46" s="271"/>
      <c r="AN46" s="272"/>
      <c r="AO46" s="270" t="s">
        <v>102</v>
      </c>
      <c r="AP46" s="271"/>
      <c r="AQ46" s="272"/>
      <c r="AR46" s="271" t="s">
        <v>81</v>
      </c>
      <c r="AS46" s="271"/>
      <c r="AT46" s="272"/>
      <c r="AX46" s="5"/>
      <c r="AY46" s="5"/>
      <c r="AZ46" s="5"/>
    </row>
    <row r="47" spans="1:52" s="6" customFormat="1" ht="57.75" thickBot="1" x14ac:dyDescent="0.3">
      <c r="A47" s="279"/>
      <c r="B47" s="177" t="s">
        <v>79</v>
      </c>
      <c r="C47" s="178" t="s">
        <v>101</v>
      </c>
      <c r="D47" s="179" t="s">
        <v>77</v>
      </c>
      <c r="E47" s="180" t="s">
        <v>79</v>
      </c>
      <c r="F47" s="181" t="s">
        <v>101</v>
      </c>
      <c r="G47" s="182" t="s">
        <v>77</v>
      </c>
      <c r="H47" s="90" t="s">
        <v>79</v>
      </c>
      <c r="I47" s="183" t="s">
        <v>101</v>
      </c>
      <c r="J47" s="184" t="s">
        <v>77</v>
      </c>
      <c r="K47" s="36" t="s">
        <v>79</v>
      </c>
      <c r="L47" s="37" t="s">
        <v>101</v>
      </c>
      <c r="M47" s="38" t="s">
        <v>77</v>
      </c>
      <c r="N47" s="36" t="s">
        <v>79</v>
      </c>
      <c r="O47" s="37" t="s">
        <v>101</v>
      </c>
      <c r="P47" s="38" t="s">
        <v>77</v>
      </c>
      <c r="Q47" s="36" t="s">
        <v>79</v>
      </c>
      <c r="R47" s="37" t="s">
        <v>78</v>
      </c>
      <c r="S47" s="38" t="s">
        <v>77</v>
      </c>
      <c r="T47" s="36" t="s">
        <v>79</v>
      </c>
      <c r="U47" s="37" t="s">
        <v>78</v>
      </c>
      <c r="V47" s="39" t="s">
        <v>77</v>
      </c>
      <c r="W47" s="36" t="s">
        <v>79</v>
      </c>
      <c r="X47" s="37" t="s">
        <v>78</v>
      </c>
      <c r="Y47" s="38" t="s">
        <v>77</v>
      </c>
      <c r="Z47" s="40" t="s">
        <v>79</v>
      </c>
      <c r="AA47" s="37" t="s">
        <v>78</v>
      </c>
      <c r="AB47" s="38" t="s">
        <v>77</v>
      </c>
      <c r="AC47" s="33" t="s">
        <v>79</v>
      </c>
      <c r="AD47" s="34" t="s">
        <v>78</v>
      </c>
      <c r="AE47" s="111" t="s">
        <v>77</v>
      </c>
      <c r="AF47" s="33" t="s">
        <v>79</v>
      </c>
      <c r="AG47" s="34" t="s">
        <v>78</v>
      </c>
      <c r="AH47" s="111" t="s">
        <v>77</v>
      </c>
      <c r="AI47" s="36" t="s">
        <v>79</v>
      </c>
      <c r="AJ47" s="37" t="s">
        <v>78</v>
      </c>
      <c r="AK47" s="38" t="s">
        <v>77</v>
      </c>
      <c r="AL47" s="134" t="s">
        <v>79</v>
      </c>
      <c r="AM47" s="135" t="s">
        <v>78</v>
      </c>
      <c r="AN47" s="136" t="s">
        <v>77</v>
      </c>
      <c r="AO47" s="134" t="s">
        <v>79</v>
      </c>
      <c r="AP47" s="135" t="s">
        <v>78</v>
      </c>
      <c r="AQ47" s="136" t="s">
        <v>77</v>
      </c>
      <c r="AR47" s="111" t="s">
        <v>79</v>
      </c>
      <c r="AS47" s="34" t="s">
        <v>78</v>
      </c>
      <c r="AT47" s="35" t="s">
        <v>77</v>
      </c>
    </row>
    <row r="48" spans="1:52" s="78" customFormat="1" x14ac:dyDescent="0.25">
      <c r="A48" s="79" t="s">
        <v>100</v>
      </c>
      <c r="B48" s="90">
        <v>126</v>
      </c>
      <c r="C48" s="91">
        <v>103520750235</v>
      </c>
      <c r="D48" s="77">
        <v>0.47678139812767723</v>
      </c>
      <c r="E48" s="90">
        <v>152</v>
      </c>
      <c r="F48" s="73">
        <f>65494778150+400000000+100000000</f>
        <v>65994778150</v>
      </c>
      <c r="G48" s="77">
        <v>0.82559861435356208</v>
      </c>
      <c r="H48" s="90">
        <v>80</v>
      </c>
      <c r="I48" s="73">
        <v>21925693386</v>
      </c>
      <c r="J48" s="92">
        <v>0.71458155622995756</v>
      </c>
      <c r="K48" s="90">
        <v>207</v>
      </c>
      <c r="L48" s="91">
        <v>233777803085.89001</v>
      </c>
      <c r="M48" s="81">
        <v>0.57995235221317243</v>
      </c>
      <c r="N48" s="93">
        <v>84</v>
      </c>
      <c r="O48" s="94">
        <f>112534711140+340000000+3000000000+2600000000</f>
        <v>118474711140</v>
      </c>
      <c r="P48" s="77">
        <v>0.66525436961053108</v>
      </c>
      <c r="Q48" s="90">
        <v>78</v>
      </c>
      <c r="R48" s="91">
        <v>63321948139</v>
      </c>
      <c r="S48" s="81">
        <v>0.66903549426121933</v>
      </c>
      <c r="T48" s="87">
        <v>114</v>
      </c>
      <c r="U48" s="91">
        <v>35392471942</v>
      </c>
      <c r="V48" s="80">
        <v>0.47939904329133615</v>
      </c>
      <c r="W48" s="90">
        <v>15</v>
      </c>
      <c r="X48" s="91">
        <f>18535500000+2000000000</f>
        <v>20535500000</v>
      </c>
      <c r="Y48" s="77">
        <v>0.5786466869585577</v>
      </c>
      <c r="Z48" s="95">
        <v>2</v>
      </c>
      <c r="AA48" s="91">
        <v>40500000</v>
      </c>
      <c r="AB48" s="80">
        <v>1</v>
      </c>
      <c r="AC48" s="96"/>
      <c r="AD48" s="73"/>
      <c r="AE48" s="102"/>
      <c r="AF48" s="146">
        <v>1</v>
      </c>
      <c r="AG48" s="147">
        <v>47182542440</v>
      </c>
      <c r="AH48" s="102">
        <v>0.90613953136180725</v>
      </c>
      <c r="AI48" s="148">
        <v>1</v>
      </c>
      <c r="AJ48" s="86">
        <v>336286250</v>
      </c>
      <c r="AK48" s="80">
        <v>1</v>
      </c>
      <c r="AL48" s="150"/>
      <c r="AM48" s="151"/>
      <c r="AN48" s="143"/>
      <c r="AO48" s="150"/>
      <c r="AP48" s="151"/>
      <c r="AQ48" s="143"/>
      <c r="AR48" s="116">
        <v>858</v>
      </c>
      <c r="AS48" s="73">
        <v>705902984767.89001</v>
      </c>
      <c r="AT48" s="77">
        <v>0.60901179262302441</v>
      </c>
    </row>
    <row r="49" spans="1:52" s="78" customFormat="1" ht="22.5" customHeight="1" x14ac:dyDescent="0.25">
      <c r="A49" s="103" t="s">
        <v>99</v>
      </c>
      <c r="B49" s="68">
        <v>71</v>
      </c>
      <c r="C49" s="73">
        <v>113603388084</v>
      </c>
      <c r="D49" s="70">
        <v>0.52321860187232272</v>
      </c>
      <c r="E49" s="68">
        <v>30</v>
      </c>
      <c r="F49" s="73">
        <f>12950891560+490000000+500000000+500000000</f>
        <v>14440891560</v>
      </c>
      <c r="G49" s="70">
        <v>0.17440138564643798</v>
      </c>
      <c r="H49" s="68">
        <v>25</v>
      </c>
      <c r="I49" s="73">
        <v>8757569000</v>
      </c>
      <c r="J49" s="70">
        <v>0.28541844377004244</v>
      </c>
      <c r="K49" s="68">
        <v>101</v>
      </c>
      <c r="L49" s="73">
        <v>169320489720</v>
      </c>
      <c r="M49" s="71">
        <v>0.42004764778682763</v>
      </c>
      <c r="N49" s="93">
        <v>29</v>
      </c>
      <c r="O49" s="76">
        <f>48656348667+7000000000+2650000000</f>
        <v>58306348667</v>
      </c>
      <c r="P49" s="70">
        <v>0.33474563038946892</v>
      </c>
      <c r="Q49" s="68">
        <v>29</v>
      </c>
      <c r="R49" s="73">
        <v>31324671782</v>
      </c>
      <c r="S49" s="71">
        <v>0.33096450573878072</v>
      </c>
      <c r="T49" s="87">
        <v>26</v>
      </c>
      <c r="U49" s="73">
        <v>38434275185.010002</v>
      </c>
      <c r="V49" s="71">
        <v>0.52060095670866369</v>
      </c>
      <c r="W49" s="104">
        <v>11</v>
      </c>
      <c r="X49" s="73">
        <v>13497000000</v>
      </c>
      <c r="Y49" s="70">
        <v>0.4213533130414423</v>
      </c>
      <c r="Z49" s="72"/>
      <c r="AA49" s="73"/>
      <c r="AB49" s="71"/>
      <c r="AC49" s="101">
        <v>1</v>
      </c>
      <c r="AD49" s="73">
        <v>1000000000</v>
      </c>
      <c r="AE49" s="102">
        <v>1</v>
      </c>
      <c r="AF49" s="101">
        <v>1</v>
      </c>
      <c r="AG49" s="73">
        <v>4887299794</v>
      </c>
      <c r="AH49" s="102">
        <v>9.3860468638192723E-2</v>
      </c>
      <c r="AI49" s="152"/>
      <c r="AJ49" s="73"/>
      <c r="AK49" s="71"/>
      <c r="AL49" s="152">
        <v>1</v>
      </c>
      <c r="AM49" s="73">
        <v>88056000</v>
      </c>
      <c r="AN49" s="70">
        <v>1</v>
      </c>
      <c r="AO49" s="152">
        <v>1</v>
      </c>
      <c r="AP49" s="73">
        <v>32782400</v>
      </c>
      <c r="AQ49" s="70">
        <v>1</v>
      </c>
      <c r="AR49" s="116">
        <v>325</v>
      </c>
      <c r="AS49" s="73">
        <v>453192772192.01001</v>
      </c>
      <c r="AT49" s="70">
        <v>0.39098820737697576</v>
      </c>
    </row>
    <row r="50" spans="1:52" ht="15.75" customHeight="1" thickBot="1" x14ac:dyDescent="0.3">
      <c r="A50" s="48" t="s">
        <v>98</v>
      </c>
      <c r="B50" s="163"/>
      <c r="C50" s="185"/>
      <c r="D50" s="140"/>
      <c r="E50" s="163"/>
      <c r="F50" s="185"/>
      <c r="G50" s="140"/>
      <c r="H50" s="163"/>
      <c r="I50" s="185"/>
      <c r="J50" s="140"/>
      <c r="K50" s="32"/>
      <c r="L50" s="49"/>
      <c r="M50" s="31"/>
      <c r="N50" s="64"/>
      <c r="O50" s="24"/>
      <c r="P50" s="14">
        <v>0</v>
      </c>
      <c r="Q50" s="32"/>
      <c r="R50" s="49"/>
      <c r="S50" s="14"/>
      <c r="T50" s="50"/>
      <c r="U50" s="49"/>
      <c r="V50" s="31"/>
      <c r="W50" s="51"/>
      <c r="X50" s="52"/>
      <c r="Y50" s="2"/>
      <c r="Z50" s="50"/>
      <c r="AA50" s="53"/>
      <c r="AB50" s="3"/>
      <c r="AC50" s="54"/>
      <c r="AD50" s="55"/>
      <c r="AE50" s="115"/>
      <c r="AF50" s="118"/>
      <c r="AG50" s="119"/>
      <c r="AH50" s="128"/>
      <c r="AI50" s="125"/>
      <c r="AJ50" s="126"/>
      <c r="AK50" s="84"/>
      <c r="AL50" s="117"/>
      <c r="AM50" s="113"/>
      <c r="AN50" s="70"/>
      <c r="AO50" s="117"/>
      <c r="AP50" s="113"/>
      <c r="AQ50" s="70"/>
      <c r="AR50" s="29"/>
      <c r="AS50" s="73"/>
      <c r="AT50" s="77">
        <v>0</v>
      </c>
      <c r="AX50" s="5"/>
      <c r="AY50" s="5"/>
      <c r="AZ50" s="5"/>
    </row>
    <row r="51" spans="1:52" s="18" customFormat="1" ht="24.75" customHeight="1" thickBot="1" x14ac:dyDescent="0.3">
      <c r="A51" s="15" t="s">
        <v>73</v>
      </c>
      <c r="B51" s="175">
        <f t="shared" ref="B51:K51" si="4">SUM(B48:B50)</f>
        <v>197</v>
      </c>
      <c r="C51" s="121">
        <f t="shared" si="4"/>
        <v>217124138319</v>
      </c>
      <c r="D51" s="169">
        <f t="shared" si="4"/>
        <v>1</v>
      </c>
      <c r="E51" s="175">
        <f t="shared" si="4"/>
        <v>182</v>
      </c>
      <c r="F51" s="121">
        <f t="shared" si="4"/>
        <v>80435669710</v>
      </c>
      <c r="G51" s="169">
        <f t="shared" si="4"/>
        <v>1</v>
      </c>
      <c r="H51" s="175">
        <f t="shared" si="4"/>
        <v>105</v>
      </c>
      <c r="I51" s="121">
        <f t="shared" si="4"/>
        <v>30683262386</v>
      </c>
      <c r="J51" s="171">
        <f t="shared" si="4"/>
        <v>1</v>
      </c>
      <c r="K51" s="43">
        <f t="shared" si="4"/>
        <v>308</v>
      </c>
      <c r="L51" s="25">
        <f>SUM(L48:L49)</f>
        <v>403098292805.89001</v>
      </c>
      <c r="M51" s="13">
        <f t="shared" ref="M51:AI51" si="5">SUM(M48:M50)</f>
        <v>1</v>
      </c>
      <c r="N51" s="15">
        <f t="shared" si="5"/>
        <v>113</v>
      </c>
      <c r="O51" s="28">
        <f t="shared" si="5"/>
        <v>176781059807</v>
      </c>
      <c r="P51" s="13">
        <f t="shared" si="5"/>
        <v>1</v>
      </c>
      <c r="Q51" s="43">
        <f t="shared" si="5"/>
        <v>107</v>
      </c>
      <c r="R51" s="23">
        <f t="shared" si="5"/>
        <v>94646619921</v>
      </c>
      <c r="S51" s="7">
        <f t="shared" si="5"/>
        <v>1</v>
      </c>
      <c r="T51" s="43">
        <f t="shared" si="5"/>
        <v>140</v>
      </c>
      <c r="U51" s="23">
        <f t="shared" si="5"/>
        <v>73826747127.01001</v>
      </c>
      <c r="V51" s="13">
        <f t="shared" si="5"/>
        <v>0.99999999999999978</v>
      </c>
      <c r="W51" s="41">
        <f t="shared" si="5"/>
        <v>26</v>
      </c>
      <c r="X51" s="23">
        <f t="shared" si="5"/>
        <v>34032500000</v>
      </c>
      <c r="Y51" s="7">
        <f t="shared" si="5"/>
        <v>1</v>
      </c>
      <c r="Z51" s="42">
        <f t="shared" si="5"/>
        <v>2</v>
      </c>
      <c r="AA51" s="23">
        <f t="shared" si="5"/>
        <v>40500000</v>
      </c>
      <c r="AB51" s="13">
        <f t="shared" si="5"/>
        <v>1</v>
      </c>
      <c r="AC51" s="17">
        <f t="shared" si="5"/>
        <v>1</v>
      </c>
      <c r="AD51" s="23">
        <f t="shared" si="5"/>
        <v>1000000000</v>
      </c>
      <c r="AE51" s="13">
        <f t="shared" si="5"/>
        <v>1</v>
      </c>
      <c r="AF51" s="120">
        <f t="shared" si="5"/>
        <v>2</v>
      </c>
      <c r="AG51" s="121">
        <f t="shared" si="5"/>
        <v>52069842234</v>
      </c>
      <c r="AH51" s="123">
        <f t="shared" si="5"/>
        <v>1</v>
      </c>
      <c r="AI51" s="130">
        <f t="shared" si="5"/>
        <v>1</v>
      </c>
      <c r="AJ51" s="129">
        <f>SUM(AJ48:AJ49)</f>
        <v>336286250</v>
      </c>
      <c r="AK51" s="149">
        <v>1</v>
      </c>
      <c r="AL51" s="130">
        <f t="shared" ref="AL51:AT51" si="6">SUM(AL48:AL50)</f>
        <v>1</v>
      </c>
      <c r="AM51" s="129">
        <f t="shared" si="6"/>
        <v>88056000</v>
      </c>
      <c r="AN51" s="122">
        <f t="shared" si="6"/>
        <v>1</v>
      </c>
      <c r="AO51" s="130">
        <f t="shared" si="6"/>
        <v>1</v>
      </c>
      <c r="AP51" s="129">
        <f t="shared" si="6"/>
        <v>32782400</v>
      </c>
      <c r="AQ51" s="122">
        <f t="shared" si="6"/>
        <v>1</v>
      </c>
      <c r="AR51" s="42">
        <f t="shared" si="6"/>
        <v>1183</v>
      </c>
      <c r="AS51" s="23">
        <f t="shared" si="6"/>
        <v>1159095756959.8999</v>
      </c>
      <c r="AT51" s="7">
        <f t="shared" si="6"/>
        <v>1.0000000000000002</v>
      </c>
    </row>
    <row r="52" spans="1:52" ht="15.75" customHeight="1" x14ac:dyDescent="0.25"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107"/>
      <c r="AV52" s="6"/>
      <c r="AW52" s="66"/>
      <c r="AX52" s="5"/>
      <c r="AY52" s="5"/>
      <c r="AZ52" s="5"/>
    </row>
    <row r="53" spans="1:52" ht="16.5" customHeight="1" thickBot="1" x14ac:dyDescent="0.3">
      <c r="A53" s="267" t="s">
        <v>97</v>
      </c>
      <c r="B53" s="267"/>
      <c r="C53" s="267"/>
      <c r="D53" s="267"/>
      <c r="E53" s="267"/>
      <c r="F53" s="267"/>
      <c r="G53" s="267"/>
      <c r="H53" s="267"/>
      <c r="I53" s="267"/>
      <c r="J53" s="267"/>
      <c r="K53" s="44"/>
      <c r="L53" s="44"/>
      <c r="M53" s="44"/>
      <c r="T53" s="44"/>
      <c r="U53" s="46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107"/>
      <c r="AV53" s="6"/>
      <c r="AW53" s="6"/>
      <c r="AX53" s="5"/>
      <c r="AY53" s="5"/>
      <c r="AZ53" s="5"/>
    </row>
    <row r="54" spans="1:52" ht="54" customHeight="1" thickBot="1" x14ac:dyDescent="0.3">
      <c r="A54" s="280" t="s">
        <v>96</v>
      </c>
      <c r="B54" s="276" t="s">
        <v>95</v>
      </c>
      <c r="C54" s="277"/>
      <c r="D54" s="278"/>
      <c r="E54" s="276" t="s">
        <v>94</v>
      </c>
      <c r="F54" s="277"/>
      <c r="G54" s="278"/>
      <c r="H54" s="276" t="s">
        <v>93</v>
      </c>
      <c r="I54" s="277"/>
      <c r="J54" s="278"/>
      <c r="K54" s="282" t="s">
        <v>92</v>
      </c>
      <c r="L54" s="283"/>
      <c r="M54" s="284"/>
      <c r="N54" s="270" t="s">
        <v>91</v>
      </c>
      <c r="O54" s="271"/>
      <c r="P54" s="271"/>
      <c r="Q54" s="270" t="s">
        <v>90</v>
      </c>
      <c r="R54" s="271"/>
      <c r="S54" s="271"/>
      <c r="T54" s="270" t="s">
        <v>89</v>
      </c>
      <c r="U54" s="271"/>
      <c r="V54" s="271"/>
      <c r="W54" s="282" t="s">
        <v>88</v>
      </c>
      <c r="X54" s="283"/>
      <c r="Y54" s="284"/>
      <c r="Z54" s="270" t="s">
        <v>87</v>
      </c>
      <c r="AA54" s="271"/>
      <c r="AB54" s="272"/>
      <c r="AC54" s="270" t="s">
        <v>86</v>
      </c>
      <c r="AD54" s="271"/>
      <c r="AE54" s="271"/>
      <c r="AF54" s="273" t="s">
        <v>85</v>
      </c>
      <c r="AG54" s="274"/>
      <c r="AH54" s="275"/>
      <c r="AI54" s="273" t="s">
        <v>84</v>
      </c>
      <c r="AJ54" s="274"/>
      <c r="AK54" s="274"/>
      <c r="AL54" s="270" t="s">
        <v>83</v>
      </c>
      <c r="AM54" s="271"/>
      <c r="AN54" s="272"/>
      <c r="AO54" s="273" t="s">
        <v>82</v>
      </c>
      <c r="AP54" s="274"/>
      <c r="AQ54" s="275"/>
      <c r="AR54" s="271" t="s">
        <v>81</v>
      </c>
      <c r="AS54" s="271"/>
      <c r="AT54" s="272"/>
      <c r="AU54" s="61"/>
      <c r="AX54" s="5"/>
      <c r="AY54" s="5"/>
      <c r="AZ54" s="5"/>
    </row>
    <row r="55" spans="1:52" ht="57.75" thickBot="1" x14ac:dyDescent="0.3">
      <c r="A55" s="281"/>
      <c r="B55" s="186" t="s">
        <v>79</v>
      </c>
      <c r="C55" s="187" t="s">
        <v>78</v>
      </c>
      <c r="D55" s="188" t="s">
        <v>77</v>
      </c>
      <c r="E55" s="186" t="s">
        <v>79</v>
      </c>
      <c r="F55" s="187" t="s">
        <v>78</v>
      </c>
      <c r="G55" s="188" t="s">
        <v>77</v>
      </c>
      <c r="H55" s="186" t="s">
        <v>79</v>
      </c>
      <c r="I55" s="187" t="s">
        <v>78</v>
      </c>
      <c r="J55" s="188" t="s">
        <v>77</v>
      </c>
      <c r="K55" s="56" t="s">
        <v>79</v>
      </c>
      <c r="L55" s="57" t="s">
        <v>78</v>
      </c>
      <c r="M55" s="58" t="s">
        <v>77</v>
      </c>
      <c r="N55" s="56" t="s">
        <v>79</v>
      </c>
      <c r="O55" s="57" t="s">
        <v>78</v>
      </c>
      <c r="P55" s="58" t="s">
        <v>77</v>
      </c>
      <c r="Q55" s="56" t="s">
        <v>79</v>
      </c>
      <c r="R55" s="57" t="s">
        <v>78</v>
      </c>
      <c r="S55" s="58" t="s">
        <v>77</v>
      </c>
      <c r="T55" s="56" t="s">
        <v>79</v>
      </c>
      <c r="U55" s="57" t="s">
        <v>78</v>
      </c>
      <c r="V55" s="59" t="s">
        <v>77</v>
      </c>
      <c r="W55" s="56" t="s">
        <v>79</v>
      </c>
      <c r="X55" s="57" t="s">
        <v>78</v>
      </c>
      <c r="Y55" s="58" t="s">
        <v>77</v>
      </c>
      <c r="Z55" s="9" t="s">
        <v>79</v>
      </c>
      <c r="AA55" s="11" t="s">
        <v>78</v>
      </c>
      <c r="AB55" s="10" t="s">
        <v>77</v>
      </c>
      <c r="AC55" s="11" t="s">
        <v>79</v>
      </c>
      <c r="AD55" s="11" t="s">
        <v>78</v>
      </c>
      <c r="AE55" s="12" t="s">
        <v>77</v>
      </c>
      <c r="AF55" s="33" t="s">
        <v>79</v>
      </c>
      <c r="AG55" s="34" t="s">
        <v>78</v>
      </c>
      <c r="AH55" s="35" t="s">
        <v>77</v>
      </c>
      <c r="AI55" s="36" t="s">
        <v>79</v>
      </c>
      <c r="AJ55" s="37" t="s">
        <v>78</v>
      </c>
      <c r="AK55" s="39" t="s">
        <v>77</v>
      </c>
      <c r="AL55" s="34" t="s">
        <v>79</v>
      </c>
      <c r="AM55" s="111" t="s">
        <v>80</v>
      </c>
      <c r="AN55" s="34" t="s">
        <v>77</v>
      </c>
      <c r="AO55" s="36" t="s">
        <v>79</v>
      </c>
      <c r="AP55" s="37" t="s">
        <v>78</v>
      </c>
      <c r="AQ55" s="38" t="s">
        <v>77</v>
      </c>
      <c r="AR55" s="34" t="s">
        <v>79</v>
      </c>
      <c r="AS55" s="34" t="s">
        <v>78</v>
      </c>
      <c r="AT55" s="35" t="s">
        <v>77</v>
      </c>
      <c r="AU55" s="61"/>
      <c r="AX55" s="5"/>
      <c r="AY55" s="5"/>
      <c r="AZ55" s="5"/>
    </row>
    <row r="56" spans="1:52" s="78" customFormat="1" x14ac:dyDescent="0.25">
      <c r="A56" s="155" t="s">
        <v>76</v>
      </c>
      <c r="B56" s="90">
        <v>32</v>
      </c>
      <c r="C56" s="91">
        <v>80755894000</v>
      </c>
      <c r="D56" s="77">
        <v>0.37193420605014899</v>
      </c>
      <c r="E56" s="90">
        <v>17</v>
      </c>
      <c r="F56" s="91">
        <v>30068806000</v>
      </c>
      <c r="G56" s="77">
        <v>0.37616255808060584</v>
      </c>
      <c r="H56" s="90">
        <v>7</v>
      </c>
      <c r="I56" s="91">
        <v>8290000000</v>
      </c>
      <c r="J56" s="77">
        <v>0.27017987512900576</v>
      </c>
      <c r="K56" s="90">
        <v>50</v>
      </c>
      <c r="L56" s="91">
        <v>145881491021.89001</v>
      </c>
      <c r="M56" s="77">
        <v>0.36190054293318114</v>
      </c>
      <c r="N56" s="90">
        <v>26</v>
      </c>
      <c r="O56" s="91">
        <f>60852348667+7000000000+550000000+3000000000</f>
        <v>71402348667</v>
      </c>
      <c r="P56" s="77">
        <v>0.40993176150217958</v>
      </c>
      <c r="Q56" s="90">
        <v>10</v>
      </c>
      <c r="R56" s="91">
        <v>25406598000</v>
      </c>
      <c r="S56" s="77">
        <v>0.26843640080550657</v>
      </c>
      <c r="T56" s="90">
        <v>7</v>
      </c>
      <c r="U56" s="91">
        <v>30737000000</v>
      </c>
      <c r="V56" s="80">
        <v>0.41633962210363551</v>
      </c>
      <c r="W56" s="156">
        <v>8</v>
      </c>
      <c r="X56" s="91">
        <v>21510000000</v>
      </c>
      <c r="Y56" s="77">
        <v>0.6715055022243035</v>
      </c>
      <c r="Z56" s="90"/>
      <c r="AA56" s="91"/>
      <c r="AB56" s="77">
        <v>0</v>
      </c>
      <c r="AC56" s="96">
        <v>1</v>
      </c>
      <c r="AD56" s="73">
        <v>1000000000</v>
      </c>
      <c r="AE56" s="102">
        <v>1</v>
      </c>
      <c r="AF56" s="96">
        <v>1</v>
      </c>
      <c r="AG56" s="91">
        <v>4887299794</v>
      </c>
      <c r="AH56" s="237">
        <v>9.3860468638192723E-2</v>
      </c>
      <c r="AI56" s="241">
        <v>1</v>
      </c>
      <c r="AJ56" s="154">
        <v>336286250</v>
      </c>
      <c r="AK56" s="237">
        <v>1</v>
      </c>
      <c r="AL56" s="242">
        <v>1</v>
      </c>
      <c r="AM56" s="91">
        <v>88056000</v>
      </c>
      <c r="AN56" s="237">
        <v>1</v>
      </c>
      <c r="AO56" s="153">
        <v>1</v>
      </c>
      <c r="AP56" s="91">
        <v>32782400</v>
      </c>
      <c r="AQ56" s="237">
        <v>1</v>
      </c>
      <c r="AR56" s="153">
        <v>162</v>
      </c>
      <c r="AS56" s="91">
        <v>420396562132.89001</v>
      </c>
      <c r="AT56" s="77">
        <v>0.36269355625588234</v>
      </c>
      <c r="AU56" s="157"/>
    </row>
    <row r="57" spans="1:52" s="78" customFormat="1" x14ac:dyDescent="0.25">
      <c r="A57" s="97" t="s">
        <v>75</v>
      </c>
      <c r="B57" s="68">
        <v>45</v>
      </c>
      <c r="C57" s="73">
        <v>20208310000</v>
      </c>
      <c r="D57" s="70">
        <v>9.3072608860788372E-2</v>
      </c>
      <c r="E57" s="68">
        <v>75</v>
      </c>
      <c r="F57" s="73">
        <v>21015558600</v>
      </c>
      <c r="G57" s="70">
        <v>0.26290589265396425</v>
      </c>
      <c r="H57" s="68">
        <v>45</v>
      </c>
      <c r="I57" s="73">
        <v>9559128600</v>
      </c>
      <c r="J57" s="70">
        <v>0.3115421196007368</v>
      </c>
      <c r="K57" s="68">
        <v>103</v>
      </c>
      <c r="L57" s="73">
        <v>94785031667</v>
      </c>
      <c r="M57" s="70">
        <v>0.23514123815117038</v>
      </c>
      <c r="N57" s="68">
        <v>28</v>
      </c>
      <c r="O57" s="73">
        <f>30106194641+100000000+2100000000</f>
        <v>32306194641</v>
      </c>
      <c r="P57" s="70">
        <v>0.18547478512759444</v>
      </c>
      <c r="Q57" s="68">
        <v>56</v>
      </c>
      <c r="R57" s="73">
        <v>26941945782</v>
      </c>
      <c r="S57" s="70">
        <v>0.28465829846314644</v>
      </c>
      <c r="T57" s="98">
        <v>73</v>
      </c>
      <c r="U57" s="73">
        <v>14923365402</v>
      </c>
      <c r="V57" s="71">
        <v>0.20214036216882417</v>
      </c>
      <c r="W57" s="99">
        <v>8</v>
      </c>
      <c r="X57" s="73">
        <f>4855000000+2000000000</f>
        <v>6855000000</v>
      </c>
      <c r="Y57" s="70">
        <v>0.1515648169827519</v>
      </c>
      <c r="Z57" s="100">
        <v>1</v>
      </c>
      <c r="AA57" s="91">
        <v>25000000</v>
      </c>
      <c r="AB57" s="77">
        <v>0.61728395061728392</v>
      </c>
      <c r="AC57" s="101"/>
      <c r="AD57" s="73"/>
      <c r="AE57" s="102">
        <v>0</v>
      </c>
      <c r="AF57" s="101"/>
      <c r="AG57" s="73"/>
      <c r="AH57" s="113">
        <v>0</v>
      </c>
      <c r="AI57" s="239"/>
      <c r="AJ57" s="113"/>
      <c r="AK57" s="113">
        <v>0</v>
      </c>
      <c r="AL57" s="235"/>
      <c r="AM57" s="91"/>
      <c r="AN57" s="113">
        <v>0</v>
      </c>
      <c r="AO57" s="153"/>
      <c r="AP57" s="91"/>
      <c r="AQ57" s="113">
        <v>0</v>
      </c>
      <c r="AR57" s="260">
        <v>433</v>
      </c>
      <c r="AS57" s="91">
        <v>224619534692</v>
      </c>
      <c r="AT57" s="70">
        <v>0.19378859196339113</v>
      </c>
    </row>
    <row r="58" spans="1:52" s="78" customFormat="1" ht="18.75" customHeight="1" x14ac:dyDescent="0.25">
      <c r="A58" s="97" t="s">
        <v>63</v>
      </c>
      <c r="B58" s="68">
        <v>53</v>
      </c>
      <c r="C58" s="73">
        <v>47011931000</v>
      </c>
      <c r="D58" s="70">
        <v>0.21652097903057563</v>
      </c>
      <c r="E58" s="68">
        <v>55</v>
      </c>
      <c r="F58" s="73">
        <f>5996188550+100000000</f>
        <v>6096188550</v>
      </c>
      <c r="G58" s="70">
        <v>7.6263682685295167E-2</v>
      </c>
      <c r="H58" s="68">
        <v>40</v>
      </c>
      <c r="I58" s="73">
        <v>4322133786</v>
      </c>
      <c r="J58" s="70">
        <v>0.14086291514985971</v>
      </c>
      <c r="K58" s="68">
        <v>65</v>
      </c>
      <c r="L58" s="73">
        <v>89911668597</v>
      </c>
      <c r="M58" s="70">
        <v>0.22305147454518373</v>
      </c>
      <c r="N58" s="68">
        <v>34</v>
      </c>
      <c r="O58" s="73">
        <v>42350115000</v>
      </c>
      <c r="P58" s="70">
        <v>0.24313846205164744</v>
      </c>
      <c r="Q58" s="68">
        <v>16</v>
      </c>
      <c r="R58" s="73">
        <v>10574770000</v>
      </c>
      <c r="S58" s="70">
        <v>0.11172897678571711</v>
      </c>
      <c r="T58" s="98">
        <v>39</v>
      </c>
      <c r="U58" s="73">
        <v>13778757100</v>
      </c>
      <c r="V58" s="71">
        <v>0.18663638364420029</v>
      </c>
      <c r="W58" s="99">
        <v>5</v>
      </c>
      <c r="X58" s="73">
        <v>1290000000</v>
      </c>
      <c r="Y58" s="70">
        <v>4.0271599157106062E-2</v>
      </c>
      <c r="Z58" s="100">
        <v>1</v>
      </c>
      <c r="AA58" s="91">
        <v>15500000</v>
      </c>
      <c r="AB58" s="77">
        <v>0.38271604938271603</v>
      </c>
      <c r="AC58" s="101"/>
      <c r="AD58" s="73"/>
      <c r="AE58" s="102">
        <v>0</v>
      </c>
      <c r="AF58" s="101">
        <v>1</v>
      </c>
      <c r="AG58" s="73">
        <v>47182542440</v>
      </c>
      <c r="AH58" s="113">
        <v>0.90613953136180725</v>
      </c>
      <c r="AI58" s="239"/>
      <c r="AJ58" s="113"/>
      <c r="AK58" s="113">
        <v>0</v>
      </c>
      <c r="AL58" s="235"/>
      <c r="AM58" s="91"/>
      <c r="AN58" s="113">
        <v>0</v>
      </c>
      <c r="AO58" s="153"/>
      <c r="AP58" s="91"/>
      <c r="AQ58" s="113">
        <v>0</v>
      </c>
      <c r="AR58" s="260">
        <v>309</v>
      </c>
      <c r="AS58" s="91">
        <v>262533606473</v>
      </c>
      <c r="AT58" s="70">
        <v>0.22649863473021289</v>
      </c>
      <c r="AU58" s="157"/>
    </row>
    <row r="59" spans="1:52" s="78" customFormat="1" ht="18" customHeight="1" thickBot="1" x14ac:dyDescent="0.3">
      <c r="A59" s="97" t="s">
        <v>74</v>
      </c>
      <c r="B59" s="87">
        <v>67</v>
      </c>
      <c r="C59" s="73">
        <v>69148003319</v>
      </c>
      <c r="D59" s="88">
        <v>0.31847220605848697</v>
      </c>
      <c r="E59" s="87">
        <v>35</v>
      </c>
      <c r="F59" s="73">
        <f>22255116560+500000000+500000000</f>
        <v>23255116560</v>
      </c>
      <c r="G59" s="88">
        <v>0.28466786658013477</v>
      </c>
      <c r="H59" s="87">
        <v>13</v>
      </c>
      <c r="I59" s="73">
        <v>8512000000</v>
      </c>
      <c r="J59" s="88">
        <v>0.27741509012039772</v>
      </c>
      <c r="K59" s="87">
        <v>90</v>
      </c>
      <c r="L59" s="73">
        <v>72520101520</v>
      </c>
      <c r="M59" s="88">
        <v>0.17990674437046475</v>
      </c>
      <c r="N59" s="87">
        <v>25</v>
      </c>
      <c r="O59" s="73">
        <f>27782401499+340000000+2600000000</f>
        <v>30722401499</v>
      </c>
      <c r="P59" s="88">
        <v>0.16145499131857857</v>
      </c>
      <c r="Q59" s="87">
        <v>25</v>
      </c>
      <c r="R59" s="73">
        <v>31723306139</v>
      </c>
      <c r="S59" s="88">
        <v>0.33517632394562985</v>
      </c>
      <c r="T59" s="105">
        <v>21</v>
      </c>
      <c r="U59" s="73">
        <v>14387624625.01</v>
      </c>
      <c r="V59" s="84">
        <v>0.19488363208334009</v>
      </c>
      <c r="W59" s="106">
        <v>5</v>
      </c>
      <c r="X59" s="73">
        <v>4377500000</v>
      </c>
      <c r="Y59" s="88">
        <v>0.13665808163583859</v>
      </c>
      <c r="Z59" s="100"/>
      <c r="AA59" s="91"/>
      <c r="AB59" s="77">
        <v>0</v>
      </c>
      <c r="AC59" s="101"/>
      <c r="AD59" s="73"/>
      <c r="AE59" s="102">
        <v>0</v>
      </c>
      <c r="AF59" s="118"/>
      <c r="AG59" s="86"/>
      <c r="AH59" s="126">
        <v>0</v>
      </c>
      <c r="AI59" s="240"/>
      <c r="AJ59" s="126"/>
      <c r="AK59" s="126">
        <v>0</v>
      </c>
      <c r="AL59" s="245"/>
      <c r="AM59" s="154"/>
      <c r="AN59" s="126">
        <v>0</v>
      </c>
      <c r="AO59" s="238"/>
      <c r="AP59" s="154"/>
      <c r="AQ59" s="126">
        <v>0</v>
      </c>
      <c r="AR59" s="259">
        <v>279</v>
      </c>
      <c r="AS59" s="91">
        <v>251546053662.01001</v>
      </c>
      <c r="AT59" s="88">
        <v>0.21701921705051372</v>
      </c>
    </row>
    <row r="60" spans="1:52" s="18" customFormat="1" ht="21.75" customHeight="1" thickBot="1" x14ac:dyDescent="0.3">
      <c r="A60" s="15" t="s">
        <v>73</v>
      </c>
      <c r="B60" s="170">
        <f t="shared" ref="B60:Q60" si="7">SUM(B56:B59)</f>
        <v>197</v>
      </c>
      <c r="C60" s="121">
        <f t="shared" si="7"/>
        <v>217124138319</v>
      </c>
      <c r="D60" s="176">
        <f t="shared" si="7"/>
        <v>1</v>
      </c>
      <c r="E60" s="170">
        <f t="shared" si="7"/>
        <v>182</v>
      </c>
      <c r="F60" s="121">
        <f t="shared" si="7"/>
        <v>80435669710</v>
      </c>
      <c r="G60" s="189">
        <f t="shared" si="7"/>
        <v>1</v>
      </c>
      <c r="H60" s="170">
        <f t="shared" si="7"/>
        <v>105</v>
      </c>
      <c r="I60" s="121">
        <f t="shared" si="7"/>
        <v>30683262386</v>
      </c>
      <c r="J60" s="171">
        <f t="shared" si="7"/>
        <v>1</v>
      </c>
      <c r="K60" s="41">
        <f t="shared" si="7"/>
        <v>308</v>
      </c>
      <c r="L60" s="25">
        <f t="shared" si="7"/>
        <v>403098292805.89001</v>
      </c>
      <c r="M60" s="7">
        <f t="shared" si="7"/>
        <v>1</v>
      </c>
      <c r="N60" s="41">
        <f t="shared" si="7"/>
        <v>113</v>
      </c>
      <c r="O60" s="23">
        <f t="shared" si="7"/>
        <v>176781059807</v>
      </c>
      <c r="P60" s="7">
        <f t="shared" si="7"/>
        <v>1</v>
      </c>
      <c r="Q60" s="41">
        <f t="shared" si="7"/>
        <v>107</v>
      </c>
      <c r="R60" s="23">
        <v>85114711921</v>
      </c>
      <c r="S60" s="7">
        <f t="shared" ref="S60:AT60" si="8">SUM(S56:S59)</f>
        <v>1</v>
      </c>
      <c r="T60" s="41">
        <f t="shared" si="8"/>
        <v>140</v>
      </c>
      <c r="U60" s="23">
        <f t="shared" si="8"/>
        <v>73826747127.009995</v>
      </c>
      <c r="V60" s="13">
        <f t="shared" si="8"/>
        <v>1</v>
      </c>
      <c r="W60" s="20">
        <f t="shared" si="8"/>
        <v>26</v>
      </c>
      <c r="X60" s="23">
        <f t="shared" si="8"/>
        <v>34032500000</v>
      </c>
      <c r="Y60" s="7">
        <f t="shared" si="8"/>
        <v>1</v>
      </c>
      <c r="Z60" s="43">
        <f t="shared" si="8"/>
        <v>2</v>
      </c>
      <c r="AA60" s="23">
        <f t="shared" si="8"/>
        <v>40500000</v>
      </c>
      <c r="AB60" s="7">
        <f t="shared" si="8"/>
        <v>1</v>
      </c>
      <c r="AC60" s="19">
        <f t="shared" si="8"/>
        <v>1</v>
      </c>
      <c r="AD60" s="23">
        <f t="shared" si="8"/>
        <v>1000000000</v>
      </c>
      <c r="AE60" s="13">
        <f t="shared" si="8"/>
        <v>1</v>
      </c>
      <c r="AF60" s="15">
        <f t="shared" si="8"/>
        <v>2</v>
      </c>
      <c r="AG60" s="23">
        <f t="shared" si="8"/>
        <v>52069842234</v>
      </c>
      <c r="AH60" s="124">
        <f t="shared" si="8"/>
        <v>1</v>
      </c>
      <c r="AI60" s="130">
        <f t="shared" si="8"/>
        <v>1</v>
      </c>
      <c r="AJ60" s="129">
        <f t="shared" si="8"/>
        <v>336286250</v>
      </c>
      <c r="AK60" s="133">
        <f t="shared" si="8"/>
        <v>1</v>
      </c>
      <c r="AL60" s="130">
        <f t="shared" si="8"/>
        <v>1</v>
      </c>
      <c r="AM60" s="246">
        <f t="shared" si="8"/>
        <v>88056000</v>
      </c>
      <c r="AN60" s="7">
        <f t="shared" si="8"/>
        <v>1</v>
      </c>
      <c r="AO60" s="244">
        <f t="shared" si="8"/>
        <v>1</v>
      </c>
      <c r="AP60" s="243">
        <f t="shared" si="8"/>
        <v>32782400</v>
      </c>
      <c r="AQ60" s="7">
        <f t="shared" si="8"/>
        <v>1</v>
      </c>
      <c r="AR60" s="236">
        <f t="shared" si="8"/>
        <v>1183</v>
      </c>
      <c r="AS60" s="23">
        <f t="shared" si="8"/>
        <v>1159095756959.8999</v>
      </c>
      <c r="AT60" s="7">
        <f t="shared" si="8"/>
        <v>1</v>
      </c>
    </row>
    <row r="61" spans="1:52" x14ac:dyDescent="0.25">
      <c r="AX61" s="18"/>
      <c r="AY61" s="18"/>
      <c r="AZ61" s="18"/>
    </row>
    <row r="65" spans="7:49" x14ac:dyDescent="0.25">
      <c r="G65" s="19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</row>
  </sheetData>
  <sheetProtection autoFilter="0" pivotTables="0"/>
  <mergeCells count="62">
    <mergeCell ref="AI54:AK54"/>
    <mergeCell ref="K46:M46"/>
    <mergeCell ref="Q46:S46"/>
    <mergeCell ref="Q54:S54"/>
    <mergeCell ref="T54:V54"/>
    <mergeCell ref="N46:P46"/>
    <mergeCell ref="N54:P54"/>
    <mergeCell ref="N3:P3"/>
    <mergeCell ref="T3:V3"/>
    <mergeCell ref="K3:M3"/>
    <mergeCell ref="AC46:AE46"/>
    <mergeCell ref="AC54:AE54"/>
    <mergeCell ref="Q3:S3"/>
    <mergeCell ref="T46:V46"/>
    <mergeCell ref="Y3:Z3"/>
    <mergeCell ref="W3:X3"/>
    <mergeCell ref="K22:M22"/>
    <mergeCell ref="Q22:S22"/>
    <mergeCell ref="T22:V22"/>
    <mergeCell ref="N22:P22"/>
    <mergeCell ref="AR54:AT54"/>
    <mergeCell ref="Z22:AB22"/>
    <mergeCell ref="Z46:AB46"/>
    <mergeCell ref="Z54:AB54"/>
    <mergeCell ref="W22:Y22"/>
    <mergeCell ref="W46:Y46"/>
    <mergeCell ref="W54:Y54"/>
    <mergeCell ref="AR22:AT22"/>
    <mergeCell ref="AR46:AT46"/>
    <mergeCell ref="AL22:AN22"/>
    <mergeCell ref="AL54:AN54"/>
    <mergeCell ref="AO22:AQ22"/>
    <mergeCell ref="AO46:AQ46"/>
    <mergeCell ref="AO54:AQ54"/>
    <mergeCell ref="AF54:AH54"/>
    <mergeCell ref="AI22:AK22"/>
    <mergeCell ref="A2:J2"/>
    <mergeCell ref="A21:J21"/>
    <mergeCell ref="A22:A23"/>
    <mergeCell ref="B22:D22"/>
    <mergeCell ref="E22:G22"/>
    <mergeCell ref="A3:A4"/>
    <mergeCell ref="B3:D3"/>
    <mergeCell ref="E3:G3"/>
    <mergeCell ref="H3:J3"/>
    <mergeCell ref="A54:A55"/>
    <mergeCell ref="B54:D54"/>
    <mergeCell ref="E54:G54"/>
    <mergeCell ref="H54:J54"/>
    <mergeCell ref="K54:M54"/>
    <mergeCell ref="A53:J53"/>
    <mergeCell ref="H22:J22"/>
    <mergeCell ref="AL46:AN46"/>
    <mergeCell ref="AC22:AE22"/>
    <mergeCell ref="AF22:AH22"/>
    <mergeCell ref="AF46:AH46"/>
    <mergeCell ref="A45:J45"/>
    <mergeCell ref="B46:D46"/>
    <mergeCell ref="E46:G46"/>
    <mergeCell ref="H46:J46"/>
    <mergeCell ref="A46:A47"/>
    <mergeCell ref="AI46:AK46"/>
  </mergeCells>
  <pageMargins left="0.7" right="0.7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65"/>
  <sheetViews>
    <sheetView tabSelected="1" view="pageBreakPreview" zoomScale="70" zoomScaleNormal="100" zoomScaleSheetLayoutView="70" workbookViewId="0">
      <selection activeCell="H5" sqref="H5:I18"/>
    </sheetView>
  </sheetViews>
  <sheetFormatPr defaultRowHeight="15" x14ac:dyDescent="0.25"/>
  <cols>
    <col min="1" max="1" width="45" style="5" customWidth="1"/>
    <col min="2" max="2" width="12" style="78" customWidth="1"/>
    <col min="3" max="3" width="17.5703125" style="78" customWidth="1"/>
    <col min="4" max="5" width="12" style="78" customWidth="1"/>
    <col min="6" max="6" width="13.28515625" style="78" customWidth="1"/>
    <col min="7" max="7" width="11" style="78" customWidth="1"/>
    <col min="8" max="8" width="12.5703125" style="78" customWidth="1"/>
    <col min="9" max="9" width="17.28515625" style="78" customWidth="1"/>
    <col min="10" max="10" width="11" style="78" customWidth="1"/>
    <col min="11" max="11" width="10.140625" style="5" customWidth="1"/>
    <col min="12" max="12" width="15.28515625" style="5" customWidth="1"/>
    <col min="13" max="13" width="11.85546875" style="5" customWidth="1"/>
    <col min="14" max="14" width="9" style="5" customWidth="1"/>
    <col min="15" max="15" width="12.140625" style="5" customWidth="1"/>
    <col min="16" max="16" width="10.28515625" style="5" customWidth="1"/>
    <col min="17" max="17" width="10.85546875" style="5" customWidth="1"/>
    <col min="18" max="18" width="11.5703125" style="5" customWidth="1"/>
    <col min="19" max="19" width="14.140625" style="5" customWidth="1"/>
    <col min="20" max="20" width="8.28515625" style="5" customWidth="1"/>
    <col min="21" max="21" width="13.42578125" style="5" customWidth="1"/>
    <col min="22" max="22" width="10.85546875" style="5" customWidth="1"/>
    <col min="23" max="23" width="12.140625" style="5" customWidth="1"/>
    <col min="24" max="24" width="11.42578125" style="5" customWidth="1"/>
    <col min="25" max="25" width="14" style="5" customWidth="1"/>
    <col min="26" max="26" width="13" style="5" customWidth="1"/>
    <col min="27" max="27" width="12.5703125" style="5" customWidth="1"/>
    <col min="28" max="28" width="18.5703125" style="5" bestFit="1" customWidth="1"/>
    <col min="29" max="29" width="17.28515625" style="5" bestFit="1" customWidth="1"/>
    <col min="30" max="30" width="11" style="5" bestFit="1" customWidth="1"/>
    <col min="31" max="31" width="15.5703125" style="5" bestFit="1" customWidth="1"/>
    <col min="32" max="32" width="10" style="5" customWidth="1"/>
    <col min="33" max="33" width="9.28515625" style="5" customWidth="1"/>
    <col min="34" max="34" width="12.140625" style="5" customWidth="1"/>
    <col min="35" max="35" width="10.85546875" style="5" customWidth="1"/>
    <col min="36" max="36" width="10.140625" style="5" customWidth="1"/>
    <col min="37" max="37" width="12.28515625" style="5" customWidth="1"/>
    <col min="38" max="38" width="9.7109375" style="5" customWidth="1"/>
    <col min="39" max="40" width="10.85546875" style="5" customWidth="1"/>
    <col min="41" max="41" width="9.7109375" style="5" customWidth="1"/>
    <col min="42" max="43" width="10.85546875" style="5" customWidth="1"/>
    <col min="44" max="44" width="10.42578125" style="5" customWidth="1"/>
    <col min="45" max="45" width="11.5703125" style="5" customWidth="1"/>
    <col min="46" max="46" width="10.140625" style="5" customWidth="1"/>
    <col min="47" max="49" width="11.7109375" style="5" customWidth="1"/>
    <col min="50" max="50" width="20.7109375" style="6" customWidth="1"/>
    <col min="51" max="51" width="13.7109375" style="6" customWidth="1"/>
    <col min="52" max="52" width="12.85546875" style="6" bestFit="1" customWidth="1"/>
    <col min="53" max="53" width="26.42578125" style="5" customWidth="1"/>
    <col min="54" max="54" width="13.5703125" style="5" customWidth="1"/>
    <col min="55" max="63" width="9.140625" style="5"/>
    <col min="64" max="69" width="28.140625" style="5" customWidth="1"/>
    <col min="70" max="16384" width="9.140625" style="5"/>
  </cols>
  <sheetData>
    <row r="1" spans="1:52" ht="32.25" customHeight="1" x14ac:dyDescent="0.25">
      <c r="A1" s="44" t="s">
        <v>164</v>
      </c>
      <c r="B1" s="168"/>
      <c r="C1" s="168"/>
      <c r="D1" s="168"/>
      <c r="E1" s="168"/>
      <c r="F1" s="168"/>
      <c r="G1" s="168"/>
      <c r="K1" s="44"/>
      <c r="L1" s="44"/>
      <c r="M1" s="44"/>
      <c r="N1" s="44"/>
      <c r="O1" s="44"/>
      <c r="R1" s="45"/>
    </row>
    <row r="2" spans="1:52" ht="32.25" customHeight="1" thickBot="1" x14ac:dyDescent="0.3">
      <c r="A2" s="267" t="s">
        <v>8</v>
      </c>
      <c r="B2" s="267"/>
      <c r="C2" s="267"/>
      <c r="D2" s="267"/>
      <c r="E2" s="267"/>
      <c r="F2" s="267"/>
      <c r="G2" s="267"/>
      <c r="H2" s="267"/>
      <c r="I2" s="267"/>
      <c r="J2" s="267"/>
      <c r="K2" s="44"/>
      <c r="L2" s="44"/>
      <c r="M2" s="44"/>
      <c r="N2" s="44"/>
      <c r="O2" s="44"/>
    </row>
    <row r="3" spans="1:52" ht="53.25" customHeight="1" thickBot="1" x14ac:dyDescent="0.3">
      <c r="A3" s="280" t="s">
        <v>20</v>
      </c>
      <c r="B3" s="273" t="s">
        <v>51</v>
      </c>
      <c r="C3" s="274"/>
      <c r="D3" s="275"/>
      <c r="E3" s="273" t="s">
        <v>52</v>
      </c>
      <c r="F3" s="274"/>
      <c r="G3" s="275"/>
      <c r="H3" s="273" t="s">
        <v>53</v>
      </c>
      <c r="I3" s="274"/>
      <c r="J3" s="275"/>
      <c r="K3" s="273" t="s">
        <v>0</v>
      </c>
      <c r="L3" s="274"/>
      <c r="M3" s="275"/>
      <c r="N3" s="288" t="s">
        <v>161</v>
      </c>
      <c r="O3" s="289"/>
      <c r="P3" s="290"/>
      <c r="Q3" s="288" t="s">
        <v>59</v>
      </c>
      <c r="R3" s="289"/>
      <c r="S3" s="290"/>
      <c r="T3" s="288" t="s">
        <v>162</v>
      </c>
      <c r="U3" s="289"/>
      <c r="V3" s="290"/>
      <c r="W3" s="288" t="s">
        <v>163</v>
      </c>
      <c r="X3" s="290"/>
      <c r="Y3" s="288" t="s">
        <v>68</v>
      </c>
      <c r="Z3" s="290"/>
      <c r="AU3" s="6"/>
      <c r="AV3" s="6"/>
      <c r="AW3" s="6"/>
      <c r="AX3" s="5"/>
      <c r="AY3" s="5"/>
      <c r="AZ3" s="5"/>
    </row>
    <row r="4" spans="1:52" ht="45.75" customHeight="1" thickBot="1" x14ac:dyDescent="0.3">
      <c r="A4" s="281"/>
      <c r="B4" s="181" t="s">
        <v>2</v>
      </c>
      <c r="C4" s="181" t="s">
        <v>16</v>
      </c>
      <c r="D4" s="181" t="s">
        <v>1</v>
      </c>
      <c r="E4" s="181" t="s">
        <v>2</v>
      </c>
      <c r="F4" s="181" t="s">
        <v>16</v>
      </c>
      <c r="G4" s="181" t="s">
        <v>1</v>
      </c>
      <c r="H4" s="181" t="s">
        <v>2</v>
      </c>
      <c r="I4" s="181" t="s">
        <v>16</v>
      </c>
      <c r="J4" s="181" t="s">
        <v>1</v>
      </c>
      <c r="K4" s="34" t="s">
        <v>2</v>
      </c>
      <c r="L4" s="34" t="s">
        <v>21</v>
      </c>
      <c r="M4" s="34" t="s">
        <v>1</v>
      </c>
      <c r="N4" s="34" t="s">
        <v>2</v>
      </c>
      <c r="O4" s="34" t="s">
        <v>21</v>
      </c>
      <c r="P4" s="34" t="s">
        <v>1</v>
      </c>
      <c r="Q4" s="34" t="s">
        <v>2</v>
      </c>
      <c r="R4" s="34" t="s">
        <v>21</v>
      </c>
      <c r="S4" s="34" t="s">
        <v>1</v>
      </c>
      <c r="T4" s="34" t="s">
        <v>2</v>
      </c>
      <c r="U4" s="34" t="s">
        <v>21</v>
      </c>
      <c r="V4" s="34" t="s">
        <v>1</v>
      </c>
      <c r="W4" s="34" t="s">
        <v>22</v>
      </c>
      <c r="X4" s="34" t="s">
        <v>1</v>
      </c>
      <c r="Y4" s="34" t="s">
        <v>22</v>
      </c>
      <c r="Z4" s="34" t="s">
        <v>1</v>
      </c>
      <c r="AU4" s="6"/>
      <c r="AV4" s="6"/>
      <c r="AW4" s="6"/>
      <c r="AX4" s="5"/>
      <c r="AY4" s="5"/>
      <c r="AZ4" s="5"/>
    </row>
    <row r="5" spans="1:52" s="78" customFormat="1" x14ac:dyDescent="0.25">
      <c r="A5" s="252" t="s">
        <v>13</v>
      </c>
      <c r="B5" s="210">
        <v>506</v>
      </c>
      <c r="C5" s="196">
        <v>701244878</v>
      </c>
      <c r="D5" s="215">
        <f t="shared" ref="D5:D18" si="0">C5/$C$19</f>
        <v>0.29853773343709744</v>
      </c>
      <c r="E5" s="210">
        <v>456</v>
      </c>
      <c r="F5" s="196">
        <v>616837197</v>
      </c>
      <c r="G5" s="215">
        <f t="shared" ref="G5:G18" si="1">F5/$F$19</f>
        <v>0.3507922490166176</v>
      </c>
      <c r="H5" s="90">
        <v>376</v>
      </c>
      <c r="I5" s="192">
        <v>415435104</v>
      </c>
      <c r="J5" s="216">
        <f t="shared" ref="J5:J18" si="2">I5/$I$19</f>
        <v>0.32793723091461519</v>
      </c>
      <c r="K5" s="90">
        <f>N5+Q5+T5</f>
        <v>354</v>
      </c>
      <c r="L5" s="91">
        <f>O5+R5+U5</f>
        <v>456092866804.89001</v>
      </c>
      <c r="M5" s="216">
        <f t="shared" ref="M5:M18" si="3">L5/$L$19</f>
        <v>0.35096842602272965</v>
      </c>
      <c r="N5" s="27">
        <v>308</v>
      </c>
      <c r="O5" s="26">
        <f>392298292805.89+300000000+1800000000+6100000000+2600000000</f>
        <v>403098292805.89001</v>
      </c>
      <c r="P5" s="220">
        <f t="shared" ref="P5:P18" si="4">O5/$O$19</f>
        <v>0.34624614494259365</v>
      </c>
      <c r="Q5" s="27">
        <v>37</v>
      </c>
      <c r="R5" s="26">
        <v>39079262000</v>
      </c>
      <c r="S5" s="220">
        <f t="shared" ref="S5:S17" si="5">R5/$R$19</f>
        <v>0.37836987043675813</v>
      </c>
      <c r="T5" s="27">
        <v>9</v>
      </c>
      <c r="U5" s="26">
        <v>13915311999</v>
      </c>
      <c r="V5" s="220">
        <f t="shared" ref="V5:V18" si="6">U5/$U$19</f>
        <v>0.4342050554387451</v>
      </c>
      <c r="W5" s="248">
        <f>35596650114.8+Y5</f>
        <v>50741935407.230003</v>
      </c>
      <c r="X5" s="220">
        <f t="shared" ref="X5:X18" si="7">W5/$W$19</f>
        <v>0.38524065493135096</v>
      </c>
      <c r="Y5" s="248">
        <v>15145285292.43</v>
      </c>
      <c r="Z5" s="220">
        <f t="shared" ref="Z5:Z18" si="8">Y5/$Y$19</f>
        <v>0.43802458278470918</v>
      </c>
      <c r="AA5" s="5"/>
      <c r="AB5" s="108"/>
      <c r="AC5" s="61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5"/>
      <c r="AS5" s="5"/>
      <c r="AT5" s="5"/>
      <c r="AU5" s="5"/>
    </row>
    <row r="6" spans="1:52" s="78" customFormat="1" ht="18" customHeight="1" x14ac:dyDescent="0.25">
      <c r="A6" s="253" t="s">
        <v>55</v>
      </c>
      <c r="B6" s="72">
        <v>356</v>
      </c>
      <c r="C6" s="69">
        <v>188692629.56399998</v>
      </c>
      <c r="D6" s="216">
        <f t="shared" si="0"/>
        <v>8.033123907726053E-2</v>
      </c>
      <c r="E6" s="72">
        <v>243</v>
      </c>
      <c r="F6" s="69">
        <v>144125173.86241001</v>
      </c>
      <c r="G6" s="214">
        <f t="shared" si="1"/>
        <v>8.1963270251851947E-2</v>
      </c>
      <c r="H6" s="68">
        <v>218</v>
      </c>
      <c r="I6" s="69">
        <v>130782373.86240999</v>
      </c>
      <c r="J6" s="214">
        <f t="shared" si="2"/>
        <v>0.10323732665807336</v>
      </c>
      <c r="K6" s="90">
        <f t="shared" ref="K6:K17" si="9">N6+Q6+T6</f>
        <v>152</v>
      </c>
      <c r="L6" s="91">
        <f t="shared" ref="L6:L17" si="10">O6+R6+U6</f>
        <v>84030026593.029999</v>
      </c>
      <c r="M6" s="216">
        <f t="shared" si="3"/>
        <v>6.4662020212256588E-2</v>
      </c>
      <c r="N6" s="1">
        <v>140</v>
      </c>
      <c r="O6" s="22">
        <v>73826747127.009995</v>
      </c>
      <c r="P6" s="219">
        <f t="shared" si="4"/>
        <v>6.341437570584868E-2</v>
      </c>
      <c r="Q6" s="1">
        <v>12</v>
      </c>
      <c r="R6" s="22">
        <v>10203279466.02</v>
      </c>
      <c r="S6" s="219">
        <f t="shared" si="5"/>
        <v>9.8789315151038989E-2</v>
      </c>
      <c r="T6" s="1"/>
      <c r="U6" s="22"/>
      <c r="V6" s="219">
        <f t="shared" si="6"/>
        <v>0</v>
      </c>
      <c r="W6" s="62">
        <f>5802927887.55+Y6</f>
        <v>6731461615.8600006</v>
      </c>
      <c r="X6" s="219">
        <f t="shared" si="7"/>
        <v>5.1106302129139088E-2</v>
      </c>
      <c r="Y6" s="62">
        <v>928533728.30999994</v>
      </c>
      <c r="Z6" s="219">
        <f t="shared" si="8"/>
        <v>2.6854601355565586E-2</v>
      </c>
      <c r="AA6" s="5"/>
      <c r="AB6" s="108"/>
      <c r="AC6" s="108"/>
      <c r="AD6" s="109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5"/>
      <c r="AS6" s="5"/>
      <c r="AT6" s="5"/>
      <c r="AU6" s="5"/>
    </row>
    <row r="7" spans="1:52" s="78" customFormat="1" ht="16.5" customHeight="1" x14ac:dyDescent="0.25">
      <c r="A7" s="254" t="s">
        <v>46</v>
      </c>
      <c r="B7" s="72">
        <v>362</v>
      </c>
      <c r="C7" s="69">
        <v>173654624</v>
      </c>
      <c r="D7" s="216">
        <f t="shared" si="0"/>
        <v>7.3929178631136294E-2</v>
      </c>
      <c r="E7" s="72">
        <v>224</v>
      </c>
      <c r="F7" s="69">
        <v>112108532</v>
      </c>
      <c r="G7" s="214">
        <f t="shared" si="1"/>
        <v>6.375556510777583E-2</v>
      </c>
      <c r="H7" s="68">
        <v>207</v>
      </c>
      <c r="I7" s="69">
        <v>95874945.849999994</v>
      </c>
      <c r="J7" s="214">
        <f t="shared" si="2"/>
        <v>7.5682011350051148E-2</v>
      </c>
      <c r="K7" s="90">
        <f t="shared" si="9"/>
        <v>200</v>
      </c>
      <c r="L7" s="91">
        <f t="shared" si="10"/>
        <v>87704169710</v>
      </c>
      <c r="M7" s="216">
        <f t="shared" si="3"/>
        <v>6.7489313337401741E-2</v>
      </c>
      <c r="N7" s="1">
        <v>182</v>
      </c>
      <c r="O7" s="22">
        <f>79335669710+600000000+500000000</f>
        <v>80435669710</v>
      </c>
      <c r="P7" s="219">
        <f t="shared" si="4"/>
        <v>6.9091189543624629E-2</v>
      </c>
      <c r="Q7" s="1">
        <v>12</v>
      </c>
      <c r="R7" s="22">
        <v>4003500000</v>
      </c>
      <c r="S7" s="219">
        <f t="shared" si="5"/>
        <v>3.8762343472442271E-2</v>
      </c>
      <c r="T7" s="1">
        <v>6</v>
      </c>
      <c r="U7" s="22">
        <v>3265000000</v>
      </c>
      <c r="V7" s="219">
        <f t="shared" si="6"/>
        <v>0.10187910311384911</v>
      </c>
      <c r="W7" s="62">
        <f>8223617074.19+Y7</f>
        <v>10536250908.439999</v>
      </c>
      <c r="X7" s="219">
        <f t="shared" si="7"/>
        <v>7.9992853404446965E-2</v>
      </c>
      <c r="Y7" s="62">
        <v>2312633834.25</v>
      </c>
      <c r="Z7" s="219">
        <f t="shared" si="8"/>
        <v>6.6884872144830243E-2</v>
      </c>
      <c r="AA7" s="5"/>
      <c r="AB7" s="108"/>
      <c r="AC7" s="109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5"/>
      <c r="AS7" s="5"/>
      <c r="AT7" s="5"/>
      <c r="AU7" s="5"/>
    </row>
    <row r="8" spans="1:52" s="78" customFormat="1" ht="27" customHeight="1" x14ac:dyDescent="0.25">
      <c r="A8" s="254" t="s">
        <v>72</v>
      </c>
      <c r="B8" s="72">
        <v>310</v>
      </c>
      <c r="C8" s="69">
        <v>341848153</v>
      </c>
      <c r="D8" s="216">
        <f t="shared" si="0"/>
        <v>0.14553343058610987</v>
      </c>
      <c r="E8" s="72">
        <v>270</v>
      </c>
      <c r="F8" s="69">
        <v>279302042</v>
      </c>
      <c r="G8" s="214">
        <f t="shared" si="1"/>
        <v>0.15883768350000102</v>
      </c>
      <c r="H8" s="68">
        <v>223</v>
      </c>
      <c r="I8" s="69">
        <v>220374409</v>
      </c>
      <c r="J8" s="214">
        <f t="shared" si="2"/>
        <v>0.17395971779001337</v>
      </c>
      <c r="K8" s="90">
        <f t="shared" si="9"/>
        <v>215</v>
      </c>
      <c r="L8" s="91">
        <f t="shared" si="10"/>
        <v>231979833319</v>
      </c>
      <c r="M8" s="216">
        <f t="shared" si="3"/>
        <v>0.17851100706605411</v>
      </c>
      <c r="N8" s="1">
        <v>197</v>
      </c>
      <c r="O8" s="22">
        <v>217124138319</v>
      </c>
      <c r="P8" s="219">
        <f t="shared" si="4"/>
        <v>0.186501399804087</v>
      </c>
      <c r="Q8" s="1">
        <v>15</v>
      </c>
      <c r="R8" s="22">
        <f>5424218000+1000000000</f>
        <v>6424218000</v>
      </c>
      <c r="S8" s="219">
        <f t="shared" si="5"/>
        <v>6.2200011154701168E-2</v>
      </c>
      <c r="T8" s="1">
        <v>3</v>
      </c>
      <c r="U8" s="22">
        <v>8431477000</v>
      </c>
      <c r="V8" s="219">
        <f t="shared" si="6"/>
        <v>0.26309075488056571</v>
      </c>
      <c r="W8" s="62">
        <f>19410129654.37+Y8</f>
        <v>24085727238.59</v>
      </c>
      <c r="X8" s="219">
        <f t="shared" si="7"/>
        <v>0.18286258222957325</v>
      </c>
      <c r="Y8" s="62">
        <v>4675597584.2200003</v>
      </c>
      <c r="Z8" s="219">
        <f t="shared" si="8"/>
        <v>0.13522536165897223</v>
      </c>
      <c r="AA8" s="5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5"/>
      <c r="AS8" s="5"/>
      <c r="AT8" s="5"/>
      <c r="AU8" s="5"/>
    </row>
    <row r="9" spans="1:52" ht="16.5" customHeight="1" x14ac:dyDescent="0.25">
      <c r="A9" s="254" t="s">
        <v>45</v>
      </c>
      <c r="B9" s="72">
        <v>260</v>
      </c>
      <c r="C9" s="69">
        <v>625748966.63763011</v>
      </c>
      <c r="D9" s="216">
        <f t="shared" si="0"/>
        <v>0.2663972088229698</v>
      </c>
      <c r="E9" s="72">
        <v>182</v>
      </c>
      <c r="F9" s="69">
        <v>366927116.64162999</v>
      </c>
      <c r="G9" s="214">
        <f t="shared" si="1"/>
        <v>0.20866962806054667</v>
      </c>
      <c r="H9" s="68">
        <v>139</v>
      </c>
      <c r="I9" s="69">
        <v>223879739.64162999</v>
      </c>
      <c r="J9" s="214">
        <f t="shared" si="2"/>
        <v>0.17672676470778248</v>
      </c>
      <c r="K9" s="90">
        <f t="shared" si="9"/>
        <v>133</v>
      </c>
      <c r="L9" s="91">
        <f t="shared" si="10"/>
        <v>209657059807</v>
      </c>
      <c r="M9" s="216">
        <f t="shared" si="3"/>
        <v>0.16133338984337556</v>
      </c>
      <c r="N9" s="1">
        <v>113</v>
      </c>
      <c r="O9" s="22">
        <f>168191059807+2990000000+3000000000+2600000000</f>
        <v>176781059807</v>
      </c>
      <c r="P9" s="219">
        <f t="shared" si="4"/>
        <v>0.15184822548111135</v>
      </c>
      <c r="Q9" s="1">
        <v>17</v>
      </c>
      <c r="R9" s="22">
        <v>29976000000</v>
      </c>
      <c r="S9" s="219">
        <f t="shared" si="5"/>
        <v>0.29023104981389519</v>
      </c>
      <c r="T9" s="1">
        <v>3</v>
      </c>
      <c r="U9" s="22">
        <v>2900000000</v>
      </c>
      <c r="V9" s="219">
        <f t="shared" si="6"/>
        <v>9.0489861877538255E-2</v>
      </c>
      <c r="W9" s="62">
        <f>12406718070.04+Y9</f>
        <v>18711061253.82</v>
      </c>
      <c r="X9" s="219">
        <f t="shared" si="7"/>
        <v>0.14205728327136624</v>
      </c>
      <c r="Y9" s="62">
        <v>6304343183.7799997</v>
      </c>
      <c r="Z9" s="219">
        <f t="shared" si="8"/>
        <v>0.1823311505519877</v>
      </c>
      <c r="AB9" s="108"/>
      <c r="AC9" s="61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X9" s="5"/>
      <c r="AY9" s="5"/>
      <c r="AZ9" s="5"/>
    </row>
    <row r="10" spans="1:52" s="78" customFormat="1" ht="18.75" customHeight="1" x14ac:dyDescent="0.25">
      <c r="A10" s="253" t="s">
        <v>6</v>
      </c>
      <c r="B10" s="72">
        <v>207</v>
      </c>
      <c r="C10" s="69">
        <v>88776930.386000007</v>
      </c>
      <c r="D10" s="216">
        <f t="shared" si="0"/>
        <v>3.7794591319552463E-2</v>
      </c>
      <c r="E10" s="72">
        <v>157</v>
      </c>
      <c r="F10" s="69">
        <v>67980374.386000007</v>
      </c>
      <c r="G10" s="214">
        <f t="shared" si="1"/>
        <v>3.8660101135010845E-2</v>
      </c>
      <c r="H10" s="68">
        <v>129</v>
      </c>
      <c r="I10" s="69">
        <v>49638085.986000001</v>
      </c>
      <c r="J10" s="214">
        <f t="shared" si="2"/>
        <v>3.9183439987176452E-2</v>
      </c>
      <c r="K10" s="90">
        <f t="shared" si="9"/>
        <v>123</v>
      </c>
      <c r="L10" s="91">
        <f t="shared" si="10"/>
        <v>36160633086</v>
      </c>
      <c r="M10" s="216">
        <f t="shared" si="3"/>
        <v>2.7826000803489855E-2</v>
      </c>
      <c r="N10" s="1">
        <v>105</v>
      </c>
      <c r="O10" s="22">
        <f>30183262386+500000000</f>
        <v>30683262386</v>
      </c>
      <c r="P10" s="219">
        <f t="shared" si="4"/>
        <v>2.6355758645027313E-2</v>
      </c>
      <c r="Q10" s="1">
        <v>15</v>
      </c>
      <c r="R10" s="22">
        <f>3331370700</f>
        <v>3331370700</v>
      </c>
      <c r="S10" s="219">
        <f t="shared" si="5"/>
        <v>3.2254710954772184E-2</v>
      </c>
      <c r="T10" s="1">
        <v>3</v>
      </c>
      <c r="U10" s="22">
        <v>2146000000</v>
      </c>
      <c r="V10" s="219">
        <f t="shared" si="6"/>
        <v>6.6962497789378309E-2</v>
      </c>
      <c r="W10" s="62">
        <f>4308683539.07+Y10</f>
        <v>5084469404.21</v>
      </c>
      <c r="X10" s="219">
        <f t="shared" si="7"/>
        <v>3.8602081444792172E-2</v>
      </c>
      <c r="Y10" s="62">
        <v>775785865.13999999</v>
      </c>
      <c r="Z10" s="219">
        <f t="shared" si="8"/>
        <v>2.2436901870582161E-2</v>
      </c>
      <c r="AB10" s="108"/>
      <c r="AC10" s="108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52" ht="24.75" customHeight="1" x14ac:dyDescent="0.25">
      <c r="A11" s="254" t="s">
        <v>48</v>
      </c>
      <c r="B11" s="72">
        <v>153</v>
      </c>
      <c r="C11" s="69">
        <v>109919697.28200001</v>
      </c>
      <c r="D11" s="216">
        <f t="shared" si="0"/>
        <v>4.6795603527617011E-2</v>
      </c>
      <c r="E11" s="72">
        <v>121</v>
      </c>
      <c r="F11" s="69">
        <v>95298097.282000005</v>
      </c>
      <c r="G11" s="214">
        <f t="shared" si="1"/>
        <v>5.4195554410700029E-2</v>
      </c>
      <c r="H11" s="68">
        <v>114</v>
      </c>
      <c r="I11" s="69">
        <v>84127374.65456</v>
      </c>
      <c r="J11" s="214">
        <f t="shared" si="2"/>
        <v>6.6408683384475836E-2</v>
      </c>
      <c r="K11" s="90">
        <f t="shared" si="9"/>
        <v>125</v>
      </c>
      <c r="L11" s="91">
        <f t="shared" si="10"/>
        <v>104114686221</v>
      </c>
      <c r="M11" s="216">
        <f t="shared" si="3"/>
        <v>8.0117384437118258E-2</v>
      </c>
      <c r="N11" s="1">
        <v>107</v>
      </c>
      <c r="O11" s="22">
        <f>90614711921+250000000+350000000+3431908000</f>
        <v>94646619921</v>
      </c>
      <c r="P11" s="219">
        <f t="shared" si="4"/>
        <v>8.129785678669163E-2</v>
      </c>
      <c r="Q11" s="1">
        <v>14</v>
      </c>
      <c r="R11" s="22">
        <f>7878066300+200000000</f>
        <v>8078066300</v>
      </c>
      <c r="S11" s="219">
        <f t="shared" si="5"/>
        <v>7.8212758964346416E-2</v>
      </c>
      <c r="T11" s="1">
        <v>4</v>
      </c>
      <c r="U11" s="22">
        <v>1390000000</v>
      </c>
      <c r="V11" s="219">
        <f t="shared" si="6"/>
        <v>4.3372726899923511E-2</v>
      </c>
      <c r="W11" s="62">
        <f>7392292738.3+Y11</f>
        <v>9251334849.5300007</v>
      </c>
      <c r="X11" s="219">
        <f t="shared" si="7"/>
        <v>7.0237571109957125E-2</v>
      </c>
      <c r="Y11" s="62">
        <v>1859042111.23</v>
      </c>
      <c r="Z11" s="219">
        <f t="shared" si="8"/>
        <v>5.3766312712361819E-2</v>
      </c>
      <c r="AB11" s="108"/>
      <c r="AC11" s="108"/>
      <c r="AX11" s="5"/>
      <c r="AY11" s="5"/>
      <c r="AZ11" s="5"/>
    </row>
    <row r="12" spans="1:52" s="78" customFormat="1" ht="33" customHeight="1" x14ac:dyDescent="0.25">
      <c r="A12" s="254" t="s">
        <v>47</v>
      </c>
      <c r="B12" s="72">
        <v>74</v>
      </c>
      <c r="C12" s="69">
        <v>117985764.235</v>
      </c>
      <c r="D12" s="216">
        <f t="shared" si="0"/>
        <v>5.0229532845957776E-2</v>
      </c>
      <c r="E12" s="72">
        <v>45</v>
      </c>
      <c r="F12" s="69">
        <v>74772672.700000003</v>
      </c>
      <c r="G12" s="214">
        <f t="shared" si="1"/>
        <v>4.2522847436868252E-2</v>
      </c>
      <c r="H12" s="68">
        <v>35</v>
      </c>
      <c r="I12" s="69">
        <v>45660334.947699994</v>
      </c>
      <c r="J12" s="214">
        <f t="shared" si="2"/>
        <v>3.604347264159595E-2</v>
      </c>
      <c r="K12" s="90">
        <f t="shared" si="9"/>
        <v>31</v>
      </c>
      <c r="L12" s="91">
        <f t="shared" si="10"/>
        <v>36220032600</v>
      </c>
      <c r="M12" s="216">
        <f t="shared" si="3"/>
        <v>2.7871709376134583E-2</v>
      </c>
      <c r="N12" s="1">
        <v>26</v>
      </c>
      <c r="O12" s="22">
        <f>32032500000+2000000000</f>
        <v>34032500000</v>
      </c>
      <c r="P12" s="219">
        <f t="shared" si="4"/>
        <v>2.923262672668565E-2</v>
      </c>
      <c r="Q12" s="1">
        <v>5</v>
      </c>
      <c r="R12" s="22">
        <v>2187532600</v>
      </c>
      <c r="S12" s="219">
        <f t="shared" si="5"/>
        <v>2.1179940052045626E-2</v>
      </c>
      <c r="T12" s="1"/>
      <c r="U12" s="22"/>
      <c r="V12" s="219">
        <f t="shared" si="6"/>
        <v>0</v>
      </c>
      <c r="W12" s="62">
        <f>2596661720.74+Y12</f>
        <v>3751173723.96</v>
      </c>
      <c r="X12" s="219">
        <f t="shared" si="7"/>
        <v>2.8479493550687827E-2</v>
      </c>
      <c r="Y12" s="62">
        <v>1154512003.22</v>
      </c>
      <c r="Z12" s="219">
        <f t="shared" si="8"/>
        <v>3.3390235229384779E-2</v>
      </c>
      <c r="AB12" s="108"/>
      <c r="AC12" s="10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52" ht="18" customHeight="1" x14ac:dyDescent="0.25">
      <c r="A13" s="253" t="s">
        <v>54</v>
      </c>
      <c r="B13" s="72">
        <v>3</v>
      </c>
      <c r="C13" s="69">
        <v>60500</v>
      </c>
      <c r="D13" s="216">
        <f t="shared" si="0"/>
        <v>2.5756384737464556E-5</v>
      </c>
      <c r="E13" s="72">
        <v>3</v>
      </c>
      <c r="F13" s="69">
        <v>60500</v>
      </c>
      <c r="G13" s="214">
        <f t="shared" si="1"/>
        <v>3.4406049389893334E-5</v>
      </c>
      <c r="H13" s="68">
        <v>2</v>
      </c>
      <c r="I13" s="69">
        <v>40500</v>
      </c>
      <c r="J13" s="214">
        <f t="shared" si="2"/>
        <v>3.1969994167950517E-5</v>
      </c>
      <c r="K13" s="90">
        <f t="shared" si="9"/>
        <v>2</v>
      </c>
      <c r="L13" s="91">
        <f t="shared" si="10"/>
        <v>40500000</v>
      </c>
      <c r="M13" s="216">
        <f t="shared" si="3"/>
        <v>3.1165190882060406E-5</v>
      </c>
      <c r="N13" s="1">
        <v>2</v>
      </c>
      <c r="O13" s="212">
        <v>40500000</v>
      </c>
      <c r="P13" s="219">
        <f t="shared" si="4"/>
        <v>3.4787963929501761E-5</v>
      </c>
      <c r="Q13" s="1"/>
      <c r="R13" s="22"/>
      <c r="S13" s="219">
        <f t="shared" si="5"/>
        <v>0</v>
      </c>
      <c r="T13" s="1"/>
      <c r="U13" s="22"/>
      <c r="V13" s="219">
        <f t="shared" si="6"/>
        <v>0</v>
      </c>
      <c r="W13" s="62">
        <f>2337709.25+Y13</f>
        <v>3032662.54</v>
      </c>
      <c r="X13" s="219">
        <f t="shared" si="7"/>
        <v>2.3024445041741698E-5</v>
      </c>
      <c r="Y13" s="62">
        <v>694953.29</v>
      </c>
      <c r="Z13" s="219">
        <f t="shared" si="8"/>
        <v>2.009910140545594E-5</v>
      </c>
      <c r="AB13" s="108"/>
      <c r="AC13" s="108"/>
      <c r="AX13" s="5"/>
      <c r="AY13" s="5"/>
      <c r="AZ13" s="5"/>
    </row>
    <row r="14" spans="1:52" ht="30" customHeight="1" x14ac:dyDescent="0.25">
      <c r="A14" s="253" t="s">
        <v>56</v>
      </c>
      <c r="B14" s="72"/>
      <c r="C14" s="69"/>
      <c r="D14" s="216">
        <f t="shared" si="0"/>
        <v>0</v>
      </c>
      <c r="E14" s="72"/>
      <c r="F14" s="69"/>
      <c r="G14" s="214">
        <f t="shared" si="1"/>
        <v>0</v>
      </c>
      <c r="H14" s="68"/>
      <c r="I14" s="69"/>
      <c r="J14" s="214">
        <f t="shared" si="2"/>
        <v>0</v>
      </c>
      <c r="K14" s="90">
        <f t="shared" si="9"/>
        <v>2</v>
      </c>
      <c r="L14" s="91">
        <f t="shared" si="10"/>
        <v>52069842234</v>
      </c>
      <c r="M14" s="216">
        <f t="shared" si="3"/>
        <v>4.0068310430157544E-2</v>
      </c>
      <c r="N14" s="1">
        <v>2</v>
      </c>
      <c r="O14" s="212">
        <v>52069842234</v>
      </c>
      <c r="P14" s="219">
        <f t="shared" si="4"/>
        <v>4.4726019591388631E-2</v>
      </c>
      <c r="Q14" s="1"/>
      <c r="R14" s="22"/>
      <c r="S14" s="219">
        <f t="shared" si="5"/>
        <v>0</v>
      </c>
      <c r="T14" s="1"/>
      <c r="U14" s="22"/>
      <c r="V14" s="219">
        <f t="shared" si="6"/>
        <v>0</v>
      </c>
      <c r="W14" s="62">
        <f>1211042217.86+Y14</f>
        <v>2571910028.75</v>
      </c>
      <c r="X14" s="219">
        <f t="shared" si="7"/>
        <v>1.9526340411504764E-2</v>
      </c>
      <c r="Y14" s="62">
        <v>1360867810.8900001</v>
      </c>
      <c r="Z14" s="219">
        <f t="shared" si="8"/>
        <v>3.9358357639401848E-2</v>
      </c>
      <c r="AB14" s="108"/>
      <c r="AC14" s="108"/>
      <c r="AX14" s="5"/>
      <c r="AY14" s="5"/>
      <c r="AZ14" s="5"/>
    </row>
    <row r="15" spans="1:52" ht="18" customHeight="1" x14ac:dyDescent="0.25">
      <c r="A15" s="253" t="s">
        <v>57</v>
      </c>
      <c r="B15" s="72"/>
      <c r="C15" s="69"/>
      <c r="D15" s="214">
        <f t="shared" si="0"/>
        <v>0</v>
      </c>
      <c r="E15" s="72"/>
      <c r="F15" s="69"/>
      <c r="G15" s="214">
        <f t="shared" si="1"/>
        <v>0</v>
      </c>
      <c r="H15" s="68"/>
      <c r="I15" s="69"/>
      <c r="J15" s="214">
        <f t="shared" si="2"/>
        <v>0</v>
      </c>
      <c r="K15" s="90">
        <f t="shared" si="9"/>
        <v>1</v>
      </c>
      <c r="L15" s="91">
        <f t="shared" si="10"/>
        <v>336286250</v>
      </c>
      <c r="M15" s="216">
        <f t="shared" si="3"/>
        <v>2.5877593017931572E-4</v>
      </c>
      <c r="N15" s="1">
        <v>1</v>
      </c>
      <c r="O15" s="22">
        <v>336286250</v>
      </c>
      <c r="P15" s="219">
        <f t="shared" si="4"/>
        <v>2.8885713419722007E-4</v>
      </c>
      <c r="Q15" s="1"/>
      <c r="R15" s="22"/>
      <c r="S15" s="219">
        <f t="shared" si="5"/>
        <v>0</v>
      </c>
      <c r="T15" s="1"/>
      <c r="U15" s="22"/>
      <c r="V15" s="219">
        <f t="shared" si="6"/>
        <v>0</v>
      </c>
      <c r="W15" s="62">
        <f>8153010.93+Y15</f>
        <v>14993489.5</v>
      </c>
      <c r="X15" s="219">
        <f t="shared" si="7"/>
        <v>1.1383290109709378E-4</v>
      </c>
      <c r="Y15" s="62">
        <v>6840478.5700000003</v>
      </c>
      <c r="Z15" s="219">
        <f t="shared" si="8"/>
        <v>1.9783699770710956E-4</v>
      </c>
      <c r="AB15" s="108"/>
      <c r="AC15" s="108"/>
      <c r="AY15" s="5"/>
      <c r="AZ15" s="5"/>
    </row>
    <row r="16" spans="1:52" ht="18" customHeight="1" x14ac:dyDescent="0.25">
      <c r="A16" s="253" t="s">
        <v>58</v>
      </c>
      <c r="B16" s="72"/>
      <c r="C16" s="69"/>
      <c r="D16" s="214">
        <f t="shared" si="0"/>
        <v>0</v>
      </c>
      <c r="E16" s="72"/>
      <c r="F16" s="69"/>
      <c r="G16" s="214">
        <f t="shared" si="1"/>
        <v>0</v>
      </c>
      <c r="H16" s="68"/>
      <c r="I16" s="69"/>
      <c r="J16" s="214">
        <f t="shared" si="2"/>
        <v>0</v>
      </c>
      <c r="K16" s="90">
        <f t="shared" si="9"/>
        <v>1</v>
      </c>
      <c r="L16" s="91">
        <f t="shared" si="10"/>
        <v>88056000</v>
      </c>
      <c r="M16" s="216">
        <f t="shared" si="3"/>
        <v>6.776005057557311E-5</v>
      </c>
      <c r="N16" s="1">
        <v>1</v>
      </c>
      <c r="O16" s="22">
        <v>88056000</v>
      </c>
      <c r="P16" s="219">
        <f t="shared" si="4"/>
        <v>7.5636764241387831E-5</v>
      </c>
      <c r="Q16" s="1"/>
      <c r="R16" s="22"/>
      <c r="S16" s="219">
        <f t="shared" si="5"/>
        <v>0</v>
      </c>
      <c r="T16" s="1"/>
      <c r="U16" s="22"/>
      <c r="V16" s="219">
        <f t="shared" si="6"/>
        <v>0</v>
      </c>
      <c r="W16" s="62">
        <f>4156286+Y16</f>
        <v>7870521</v>
      </c>
      <c r="X16" s="219">
        <f t="shared" si="7"/>
        <v>5.9754217894079933E-5</v>
      </c>
      <c r="Y16" s="62">
        <v>3714235</v>
      </c>
      <c r="Z16" s="219">
        <f t="shared" si="8"/>
        <v>1.0742130008290721E-4</v>
      </c>
      <c r="AB16" s="108"/>
      <c r="AC16" s="108"/>
      <c r="AX16" s="5"/>
      <c r="AY16" s="5"/>
      <c r="AZ16" s="5"/>
    </row>
    <row r="17" spans="1:52" s="6" customFormat="1" ht="28.5" x14ac:dyDescent="0.25">
      <c r="A17" s="253" t="s">
        <v>49</v>
      </c>
      <c r="B17" s="72">
        <v>1</v>
      </c>
      <c r="C17" s="69">
        <v>1000000</v>
      </c>
      <c r="D17" s="214">
        <f t="shared" si="0"/>
        <v>4.2572536756139761E-4</v>
      </c>
      <c r="E17" s="206">
        <v>1</v>
      </c>
      <c r="F17" s="83">
        <v>1000000</v>
      </c>
      <c r="G17" s="218">
        <f t="shared" si="1"/>
        <v>5.6869503123790639E-4</v>
      </c>
      <c r="H17" s="87">
        <v>1</v>
      </c>
      <c r="I17" s="83">
        <v>1000000</v>
      </c>
      <c r="J17" s="218">
        <f t="shared" si="2"/>
        <v>7.8938257204816083E-4</v>
      </c>
      <c r="K17" s="90">
        <f t="shared" si="9"/>
        <v>1</v>
      </c>
      <c r="L17" s="91">
        <f t="shared" si="10"/>
        <v>1000000000</v>
      </c>
      <c r="M17" s="216">
        <f t="shared" si="3"/>
        <v>7.6951088597680022E-4</v>
      </c>
      <c r="N17" s="1">
        <v>1</v>
      </c>
      <c r="O17" s="22">
        <v>1000000000</v>
      </c>
      <c r="P17" s="219">
        <f t="shared" si="4"/>
        <v>8.5896207233337693E-4</v>
      </c>
      <c r="Q17" s="1"/>
      <c r="R17" s="22"/>
      <c r="S17" s="219">
        <f t="shared" si="5"/>
        <v>0</v>
      </c>
      <c r="T17" s="1"/>
      <c r="U17" s="22"/>
      <c r="V17" s="219">
        <f t="shared" si="6"/>
        <v>0</v>
      </c>
      <c r="W17" s="62">
        <f>175196422.89+Y17</f>
        <v>222856035.5</v>
      </c>
      <c r="X17" s="219">
        <f t="shared" si="7"/>
        <v>1.6919576358766864E-3</v>
      </c>
      <c r="Y17" s="62">
        <v>47659612.609999999</v>
      </c>
      <c r="Z17" s="219">
        <f t="shared" si="8"/>
        <v>1.3783881601497801E-3</v>
      </c>
      <c r="AA17" s="5"/>
      <c r="AB17" s="61"/>
      <c r="AC17" s="61"/>
      <c r="AD17" s="108"/>
    </row>
    <row r="18" spans="1:52" s="6" customFormat="1" ht="15.75" thickBot="1" x14ac:dyDescent="0.3">
      <c r="A18" s="255" t="s">
        <v>69</v>
      </c>
      <c r="B18" s="197"/>
      <c r="C18" s="211"/>
      <c r="D18" s="217">
        <f t="shared" si="0"/>
        <v>0</v>
      </c>
      <c r="E18" s="72"/>
      <c r="F18" s="69"/>
      <c r="G18" s="214">
        <f t="shared" si="1"/>
        <v>0</v>
      </c>
      <c r="H18" s="87"/>
      <c r="I18" s="83"/>
      <c r="J18" s="218">
        <f t="shared" si="2"/>
        <v>0</v>
      </c>
      <c r="K18" s="160">
        <v>1</v>
      </c>
      <c r="L18" s="154">
        <v>32782400</v>
      </c>
      <c r="M18" s="216">
        <f t="shared" si="3"/>
        <v>2.5226413668445854E-5</v>
      </c>
      <c r="N18" s="1">
        <v>1</v>
      </c>
      <c r="O18" s="22">
        <v>32782400</v>
      </c>
      <c r="P18" s="219">
        <f t="shared" si="4"/>
        <v>2.8158838240061693E-5</v>
      </c>
      <c r="Q18" s="68"/>
      <c r="R18" s="73"/>
      <c r="S18" s="219"/>
      <c r="T18" s="68"/>
      <c r="U18" s="73"/>
      <c r="V18" s="214">
        <f t="shared" si="6"/>
        <v>0</v>
      </c>
      <c r="W18" s="75">
        <f>Y18</f>
        <v>825630.8</v>
      </c>
      <c r="X18" s="214">
        <f t="shared" si="7"/>
        <v>6.2683172719142148E-6</v>
      </c>
      <c r="Y18" s="75">
        <v>825630.8</v>
      </c>
      <c r="Z18" s="214">
        <f t="shared" si="8"/>
        <v>2.3878492859092318E-5</v>
      </c>
      <c r="AA18" s="5"/>
      <c r="AB18" s="61"/>
      <c r="AC18" s="61"/>
      <c r="AD18" s="108"/>
    </row>
    <row r="19" spans="1:52" s="6" customFormat="1" ht="29.25" customHeight="1" thickBot="1" x14ac:dyDescent="0.3">
      <c r="A19" s="191" t="s">
        <v>65</v>
      </c>
      <c r="B19" s="207">
        <f t="shared" ref="B19:I19" si="11">SUM(B5:B18)</f>
        <v>2232</v>
      </c>
      <c r="C19" s="208">
        <f t="shared" si="11"/>
        <v>2348932143.10463</v>
      </c>
      <c r="D19" s="209">
        <f>SUM(D5:D18)</f>
        <v>1</v>
      </c>
      <c r="E19" s="170">
        <f t="shared" si="11"/>
        <v>1702</v>
      </c>
      <c r="F19" s="193">
        <f t="shared" si="11"/>
        <v>1758411705.87204</v>
      </c>
      <c r="G19" s="194">
        <f t="shared" si="11"/>
        <v>1</v>
      </c>
      <c r="H19" s="170">
        <f>SUM(H5:H18)</f>
        <v>1444</v>
      </c>
      <c r="I19" s="193">
        <f t="shared" si="11"/>
        <v>1266812867.9423001</v>
      </c>
      <c r="J19" s="194">
        <f t="shared" ref="J19:Z19" si="12">SUM(J5:J18)</f>
        <v>0.99999999999999989</v>
      </c>
      <c r="K19" s="41">
        <f t="shared" si="12"/>
        <v>1341</v>
      </c>
      <c r="L19" s="129">
        <f>SUM(L5:L18)</f>
        <v>1299526775024.9199</v>
      </c>
      <c r="M19" s="127">
        <f t="shared" si="12"/>
        <v>1</v>
      </c>
      <c r="N19" s="41">
        <f t="shared" si="12"/>
        <v>1186</v>
      </c>
      <c r="O19" s="129">
        <f t="shared" si="12"/>
        <v>1164195756959.8999</v>
      </c>
      <c r="P19" s="127">
        <f t="shared" si="12"/>
        <v>1.0000000000000002</v>
      </c>
      <c r="Q19" s="41">
        <f t="shared" si="12"/>
        <v>127</v>
      </c>
      <c r="R19" s="129">
        <f t="shared" si="12"/>
        <v>103283229066.02</v>
      </c>
      <c r="S19" s="127">
        <f t="shared" si="12"/>
        <v>1</v>
      </c>
      <c r="T19" s="41">
        <f t="shared" si="12"/>
        <v>28</v>
      </c>
      <c r="U19" s="129">
        <f t="shared" si="12"/>
        <v>32047788999</v>
      </c>
      <c r="V19" s="213">
        <f t="shared" si="12"/>
        <v>1</v>
      </c>
      <c r="W19" s="23">
        <f t="shared" si="12"/>
        <v>131714902769.73001</v>
      </c>
      <c r="X19" s="127">
        <f t="shared" si="12"/>
        <v>1</v>
      </c>
      <c r="Y19" s="23">
        <f t="shared" si="12"/>
        <v>34576336323.740005</v>
      </c>
      <c r="Z19" s="127">
        <f t="shared" si="12"/>
        <v>0.99999999999999989</v>
      </c>
      <c r="AB19" s="61"/>
      <c r="AC19" s="247"/>
    </row>
    <row r="20" spans="1:52" x14ac:dyDescent="0.25">
      <c r="A20" s="44"/>
      <c r="B20" s="168"/>
      <c r="C20" s="168"/>
      <c r="D20" s="172"/>
      <c r="E20" s="168"/>
      <c r="F20" s="168"/>
      <c r="G20" s="168"/>
      <c r="H20" s="173"/>
      <c r="I20" s="168"/>
      <c r="J20" s="168"/>
      <c r="K20" s="44"/>
      <c r="O20" s="45"/>
      <c r="P20" s="61"/>
      <c r="Q20" s="45"/>
      <c r="S20" s="67"/>
      <c r="AC20" s="45"/>
    </row>
    <row r="21" spans="1:52" ht="30.75" customHeight="1" thickBot="1" x14ac:dyDescent="0.3">
      <c r="A21" s="285" t="s">
        <v>23</v>
      </c>
      <c r="B21" s="285"/>
      <c r="C21" s="285"/>
      <c r="D21" s="285"/>
      <c r="E21" s="285"/>
      <c r="F21" s="285"/>
      <c r="G21" s="285"/>
      <c r="H21" s="267"/>
      <c r="I21" s="267"/>
      <c r="J21" s="267"/>
      <c r="K21" s="4"/>
      <c r="L21" s="4"/>
      <c r="M21" s="5" t="s">
        <v>50</v>
      </c>
      <c r="N21" s="44"/>
      <c r="O21" s="46"/>
      <c r="R21" s="45"/>
      <c r="S21" s="44"/>
    </row>
    <row r="22" spans="1:52" ht="51.75" customHeight="1" thickBot="1" x14ac:dyDescent="0.3">
      <c r="A22" s="286" t="s">
        <v>4</v>
      </c>
      <c r="B22" s="268" t="s">
        <v>71</v>
      </c>
      <c r="C22" s="268"/>
      <c r="D22" s="269"/>
      <c r="E22" s="268" t="s">
        <v>9</v>
      </c>
      <c r="F22" s="268"/>
      <c r="G22" s="269"/>
      <c r="H22" s="268" t="s">
        <v>6</v>
      </c>
      <c r="I22" s="268"/>
      <c r="J22" s="269"/>
      <c r="K22" s="271" t="s">
        <v>17</v>
      </c>
      <c r="L22" s="271"/>
      <c r="M22" s="271"/>
      <c r="N22" s="270" t="s">
        <v>15</v>
      </c>
      <c r="O22" s="271"/>
      <c r="P22" s="272"/>
      <c r="Q22" s="270" t="s">
        <v>14</v>
      </c>
      <c r="R22" s="271"/>
      <c r="S22" s="271"/>
      <c r="T22" s="270" t="s">
        <v>18</v>
      </c>
      <c r="U22" s="271"/>
      <c r="V22" s="272"/>
      <c r="W22" s="282" t="s">
        <v>19</v>
      </c>
      <c r="X22" s="283"/>
      <c r="Y22" s="284"/>
      <c r="Z22" s="270" t="s">
        <v>54</v>
      </c>
      <c r="AA22" s="271"/>
      <c r="AB22" s="272"/>
      <c r="AC22" s="270" t="s">
        <v>49</v>
      </c>
      <c r="AD22" s="271"/>
      <c r="AE22" s="271"/>
      <c r="AF22" s="273" t="s">
        <v>66</v>
      </c>
      <c r="AG22" s="274"/>
      <c r="AH22" s="275"/>
      <c r="AI22" s="273" t="s">
        <v>57</v>
      </c>
      <c r="AJ22" s="274"/>
      <c r="AK22" s="275"/>
      <c r="AL22" s="270" t="s">
        <v>58</v>
      </c>
      <c r="AM22" s="271"/>
      <c r="AN22" s="272"/>
      <c r="AO22" s="270" t="s">
        <v>70</v>
      </c>
      <c r="AP22" s="271"/>
      <c r="AQ22" s="272"/>
      <c r="AR22" s="271" t="s">
        <v>7</v>
      </c>
      <c r="AS22" s="271"/>
      <c r="AT22" s="272"/>
      <c r="AX22" s="5"/>
      <c r="AY22" s="5"/>
      <c r="AZ22" s="5"/>
    </row>
    <row r="23" spans="1:52" ht="51.75" customHeight="1" thickBot="1" x14ac:dyDescent="0.3">
      <c r="A23" s="287"/>
      <c r="B23" s="174" t="s">
        <v>2</v>
      </c>
      <c r="C23" s="181" t="s">
        <v>16</v>
      </c>
      <c r="D23" s="182" t="s">
        <v>5</v>
      </c>
      <c r="E23" s="180" t="s">
        <v>2</v>
      </c>
      <c r="F23" s="181" t="s">
        <v>16</v>
      </c>
      <c r="G23" s="182" t="s">
        <v>5</v>
      </c>
      <c r="H23" s="199" t="s">
        <v>2</v>
      </c>
      <c r="I23" s="200" t="s">
        <v>16</v>
      </c>
      <c r="J23" s="201" t="s">
        <v>5</v>
      </c>
      <c r="K23" s="33" t="s">
        <v>2</v>
      </c>
      <c r="L23" s="34" t="s">
        <v>16</v>
      </c>
      <c r="M23" s="35" t="s">
        <v>5</v>
      </c>
      <c r="N23" s="33" t="s">
        <v>2</v>
      </c>
      <c r="O23" s="34" t="s">
        <v>16</v>
      </c>
      <c r="P23" s="35" t="s">
        <v>5</v>
      </c>
      <c r="Q23" s="33" t="s">
        <v>2</v>
      </c>
      <c r="R23" s="34" t="s">
        <v>16</v>
      </c>
      <c r="S23" s="35" t="s">
        <v>5</v>
      </c>
      <c r="T23" s="33" t="s">
        <v>2</v>
      </c>
      <c r="U23" s="34" t="s">
        <v>16</v>
      </c>
      <c r="V23" s="35" t="s">
        <v>5</v>
      </c>
      <c r="W23" s="202" t="s">
        <v>2</v>
      </c>
      <c r="X23" s="203" t="s">
        <v>16</v>
      </c>
      <c r="Y23" s="35" t="s">
        <v>5</v>
      </c>
      <c r="Z23" s="33" t="s">
        <v>2</v>
      </c>
      <c r="AA23" s="34" t="s">
        <v>16</v>
      </c>
      <c r="AB23" s="111" t="s">
        <v>5</v>
      </c>
      <c r="AC23" s="33" t="s">
        <v>2</v>
      </c>
      <c r="AD23" s="34" t="s">
        <v>16</v>
      </c>
      <c r="AE23" s="111" t="s">
        <v>5</v>
      </c>
      <c r="AF23" s="36" t="s">
        <v>2</v>
      </c>
      <c r="AG23" s="37" t="s">
        <v>16</v>
      </c>
      <c r="AH23" s="38" t="s">
        <v>5</v>
      </c>
      <c r="AI23" s="36" t="s">
        <v>2</v>
      </c>
      <c r="AJ23" s="37" t="s">
        <v>16</v>
      </c>
      <c r="AK23" s="38" t="s">
        <v>5</v>
      </c>
      <c r="AL23" s="139" t="s">
        <v>2</v>
      </c>
      <c r="AM23" s="139" t="s">
        <v>16</v>
      </c>
      <c r="AN23" s="136" t="s">
        <v>5</v>
      </c>
      <c r="AO23" s="139" t="s">
        <v>2</v>
      </c>
      <c r="AP23" s="139" t="s">
        <v>16</v>
      </c>
      <c r="AQ23" s="136" t="s">
        <v>5</v>
      </c>
      <c r="AR23" s="111" t="s">
        <v>2</v>
      </c>
      <c r="AS23" s="34" t="s">
        <v>16</v>
      </c>
      <c r="AT23" s="35" t="s">
        <v>5</v>
      </c>
      <c r="AX23" s="5"/>
      <c r="AY23" s="5"/>
      <c r="AZ23" s="5"/>
    </row>
    <row r="24" spans="1:52" ht="21.75" customHeight="1" x14ac:dyDescent="0.25">
      <c r="A24" s="198" t="s">
        <v>26</v>
      </c>
      <c r="B24" s="95">
        <v>4</v>
      </c>
      <c r="C24" s="73">
        <v>645000000</v>
      </c>
      <c r="D24" s="214">
        <f t="shared" ref="D24:D40" si="13">C24/$C$43</f>
        <v>2.970650822122607E-3</v>
      </c>
      <c r="E24" s="90">
        <v>24</v>
      </c>
      <c r="F24" s="73">
        <v>9140179000</v>
      </c>
      <c r="G24" s="216">
        <f t="shared" ref="G24:G41" si="14">F24/$F$43</f>
        <v>0.11363340459467407</v>
      </c>
      <c r="H24" s="90">
        <v>8</v>
      </c>
      <c r="I24" s="73">
        <v>308400000</v>
      </c>
      <c r="J24" s="222">
        <f t="shared" ref="J24:J41" si="15">I24/$I$43</f>
        <v>1.0051082447501252E-2</v>
      </c>
      <c r="K24" s="27">
        <v>17</v>
      </c>
      <c r="L24" s="22">
        <f>13112551000+2800000000</f>
        <v>15912551000</v>
      </c>
      <c r="M24" s="223">
        <f t="shared" ref="M24:M41" si="16">L24/$L$43</f>
        <v>3.9475610003792821E-2</v>
      </c>
      <c r="N24" s="21">
        <v>1</v>
      </c>
      <c r="O24" s="22">
        <v>2600000000</v>
      </c>
      <c r="P24" s="224">
        <f t="shared" ref="P24:P41" si="17">O24/$O$43</f>
        <v>1.4707457930383149E-2</v>
      </c>
      <c r="Q24" s="27">
        <v>14</v>
      </c>
      <c r="R24" s="22">
        <v>10003905782</v>
      </c>
      <c r="S24" s="225">
        <f t="shared" ref="S24:S41" si="18">R24/$R$43</f>
        <v>0.10569744371589919</v>
      </c>
      <c r="T24" s="27">
        <v>4</v>
      </c>
      <c r="U24" s="22">
        <v>355000000</v>
      </c>
      <c r="V24" s="218">
        <f t="shared" ref="V24:V41" si="19">U24/$U$43</f>
        <v>4.8085553517516547E-3</v>
      </c>
      <c r="W24" s="27"/>
      <c r="X24" s="22"/>
      <c r="Y24" s="220">
        <f t="shared" ref="Y24:Y42" si="20">X24/$X$43</f>
        <v>0</v>
      </c>
      <c r="Z24" s="27">
        <v>1</v>
      </c>
      <c r="AA24" s="22">
        <v>25000000</v>
      </c>
      <c r="AB24" s="223">
        <f>AA24/$AA$43</f>
        <v>0.61728395061728392</v>
      </c>
      <c r="AC24" s="114"/>
      <c r="AD24" s="65"/>
      <c r="AE24" s="230"/>
      <c r="AF24" s="112"/>
      <c r="AG24" s="141"/>
      <c r="AH24" s="220"/>
      <c r="AI24" s="21"/>
      <c r="AJ24" s="22"/>
      <c r="AK24" s="220">
        <f t="shared" ref="AK24:AK40" si="21">AJ24/$AJ$43</f>
        <v>0</v>
      </c>
      <c r="AL24" s="131"/>
      <c r="AM24" s="65"/>
      <c r="AN24" s="215"/>
      <c r="AO24" s="131"/>
      <c r="AP24" s="65"/>
      <c r="AQ24" s="215"/>
      <c r="AR24" s="132">
        <f t="shared" ref="AR24:AR42" si="22">B24+E24+H24+K24+N24+Q24+T24+W24+Z24+AC24+AF24+AI24+AL24+AO24</f>
        <v>73</v>
      </c>
      <c r="AS24" s="73">
        <f>C24+F24+I24+L24+O24+R24+U24+X24+AA24+AD24+AG24+AJ24+AM24</f>
        <v>38990035782</v>
      </c>
      <c r="AT24" s="233">
        <f t="shared" ref="AT24:AT42" si="23">AS24/$AS$43</f>
        <v>3.3490961935659237E-2</v>
      </c>
      <c r="AX24" s="5"/>
      <c r="AY24" s="5"/>
      <c r="AZ24" s="5"/>
    </row>
    <row r="25" spans="1:52" ht="14.25" customHeight="1" x14ac:dyDescent="0.25">
      <c r="A25" s="47" t="s">
        <v>27</v>
      </c>
      <c r="B25" s="72">
        <v>11</v>
      </c>
      <c r="C25" s="73">
        <v>5375400000</v>
      </c>
      <c r="D25" s="214">
        <f t="shared" si="13"/>
        <v>2.4757265781764126E-2</v>
      </c>
      <c r="E25" s="68">
        <v>10</v>
      </c>
      <c r="F25" s="73">
        <v>1816241550</v>
      </c>
      <c r="G25" s="216">
        <f t="shared" si="14"/>
        <v>2.2580051319871085E-2</v>
      </c>
      <c r="H25" s="68">
        <v>4</v>
      </c>
      <c r="I25" s="73">
        <v>48900000</v>
      </c>
      <c r="J25" s="222">
        <f t="shared" si="15"/>
        <v>1.5937027616174165E-3</v>
      </c>
      <c r="K25" s="1">
        <v>26</v>
      </c>
      <c r="L25" s="22">
        <v>23223113000</v>
      </c>
      <c r="M25" s="223">
        <f t="shared" si="16"/>
        <v>5.7611538958273326E-2</v>
      </c>
      <c r="N25" s="1">
        <v>11</v>
      </c>
      <c r="O25" s="22">
        <v>4680592559</v>
      </c>
      <c r="P25" s="224">
        <f t="shared" si="17"/>
        <v>2.6476776211829582E-2</v>
      </c>
      <c r="Q25" s="1">
        <v>9</v>
      </c>
      <c r="R25" s="22">
        <v>12193500000</v>
      </c>
      <c r="S25" s="225">
        <f t="shared" si="18"/>
        <v>0.12883185907935979</v>
      </c>
      <c r="T25" s="1">
        <v>9</v>
      </c>
      <c r="U25" s="22">
        <v>1770000000</v>
      </c>
      <c r="V25" s="218">
        <f t="shared" si="19"/>
        <v>2.397505062704346E-2</v>
      </c>
      <c r="W25" s="27">
        <v>2</v>
      </c>
      <c r="X25" s="22">
        <v>2040000000</v>
      </c>
      <c r="Y25" s="220">
        <f t="shared" si="20"/>
        <v>5.9942701829133915E-2</v>
      </c>
      <c r="Z25" s="1"/>
      <c r="AA25" s="22"/>
      <c r="AB25" s="224"/>
      <c r="AC25" s="30"/>
      <c r="AD25" s="22"/>
      <c r="AE25" s="219"/>
      <c r="AF25" s="112"/>
      <c r="AG25" s="63"/>
      <c r="AH25" s="219"/>
      <c r="AI25" s="21"/>
      <c r="AJ25" s="22"/>
      <c r="AK25" s="220">
        <f t="shared" si="21"/>
        <v>0</v>
      </c>
      <c r="AL25" s="138"/>
      <c r="AM25" s="22"/>
      <c r="AN25" s="216"/>
      <c r="AO25" s="138"/>
      <c r="AP25" s="22"/>
      <c r="AQ25" s="216"/>
      <c r="AR25" s="132">
        <f t="shared" si="22"/>
        <v>82</v>
      </c>
      <c r="AS25" s="73">
        <f>C25+F25+I25+L25+O25+R25+U25+X25+AA25+AD25+AG25+AJ25+AM25</f>
        <v>51147747109</v>
      </c>
      <c r="AT25" s="233">
        <f t="shared" si="23"/>
        <v>4.3933974851930124E-2</v>
      </c>
      <c r="AX25" s="5"/>
      <c r="AY25" s="5"/>
      <c r="AZ25" s="5"/>
    </row>
    <row r="26" spans="1:52" s="78" customFormat="1" x14ac:dyDescent="0.25">
      <c r="A26" s="79" t="s">
        <v>28</v>
      </c>
      <c r="B26" s="72">
        <v>21</v>
      </c>
      <c r="C26" s="73">
        <v>40545145844</v>
      </c>
      <c r="D26" s="214">
        <f t="shared" si="13"/>
        <v>0.18673716408458854</v>
      </c>
      <c r="E26" s="68">
        <v>8</v>
      </c>
      <c r="F26" s="73">
        <v>18314405560</v>
      </c>
      <c r="G26" s="216">
        <f t="shared" si="14"/>
        <v>0.22769009851015262</v>
      </c>
      <c r="H26" s="68">
        <v>5</v>
      </c>
      <c r="I26" s="73">
        <v>2990000000</v>
      </c>
      <c r="J26" s="222">
        <f t="shared" si="15"/>
        <v>9.7447264974152875E-2</v>
      </c>
      <c r="K26" s="68">
        <v>34</v>
      </c>
      <c r="L26" s="73">
        <v>53373956339</v>
      </c>
      <c r="M26" s="223">
        <f t="shared" si="16"/>
        <v>0.13240928401724084</v>
      </c>
      <c r="N26" s="68">
        <v>10</v>
      </c>
      <c r="O26" s="73">
        <f>41855122749+7000000000+2440000000</f>
        <v>51295122749</v>
      </c>
      <c r="P26" s="224">
        <f t="shared" si="17"/>
        <v>0.29016186917875275</v>
      </c>
      <c r="Q26" s="68">
        <v>9</v>
      </c>
      <c r="R26" s="73">
        <v>5290000000</v>
      </c>
      <c r="S26" s="226">
        <f t="shared" si="18"/>
        <v>5.5892117483069943E-2</v>
      </c>
      <c r="T26" s="68">
        <v>2</v>
      </c>
      <c r="U26" s="73">
        <v>248400000</v>
      </c>
      <c r="V26" s="218">
        <f t="shared" si="19"/>
        <v>3.3646342235918621E-3</v>
      </c>
      <c r="W26" s="27">
        <v>2</v>
      </c>
      <c r="X26" s="22">
        <v>12883000000</v>
      </c>
      <c r="Y26" s="216">
        <f t="shared" si="20"/>
        <v>0.37854991552192757</v>
      </c>
      <c r="Z26" s="68"/>
      <c r="AA26" s="73"/>
      <c r="AB26" s="227"/>
      <c r="AC26" s="82"/>
      <c r="AD26" s="73"/>
      <c r="AE26" s="214"/>
      <c r="AF26" s="132"/>
      <c r="AG26" s="74"/>
      <c r="AH26" s="214"/>
      <c r="AI26" s="142"/>
      <c r="AJ26" s="73"/>
      <c r="AK26" s="216">
        <f t="shared" si="21"/>
        <v>0</v>
      </c>
      <c r="AL26" s="137"/>
      <c r="AM26" s="73"/>
      <c r="AN26" s="216"/>
      <c r="AO26" s="137"/>
      <c r="AP26" s="73"/>
      <c r="AQ26" s="216"/>
      <c r="AR26" s="132">
        <f t="shared" si="22"/>
        <v>91</v>
      </c>
      <c r="AS26" s="73">
        <f>C26+F26+I26+L26+O26+R26+U26+X26+AA26+AD26+AG26+AJ26+AM26</f>
        <v>184940030492</v>
      </c>
      <c r="AT26" s="234">
        <f t="shared" si="23"/>
        <v>0.15885647184880622</v>
      </c>
    </row>
    <row r="27" spans="1:52" s="78" customFormat="1" x14ac:dyDescent="0.25">
      <c r="A27" s="79" t="s">
        <v>29</v>
      </c>
      <c r="B27" s="72">
        <v>9</v>
      </c>
      <c r="C27" s="73">
        <v>879080084</v>
      </c>
      <c r="D27" s="214">
        <f t="shared" si="13"/>
        <v>4.0487441461181557E-3</v>
      </c>
      <c r="E27" s="68">
        <v>6</v>
      </c>
      <c r="F27" s="73">
        <v>3633812000</v>
      </c>
      <c r="G27" s="216">
        <f t="shared" si="14"/>
        <v>4.5176623916991315E-2</v>
      </c>
      <c r="H27" s="68">
        <v>6</v>
      </c>
      <c r="I27" s="73">
        <v>467220000</v>
      </c>
      <c r="J27" s="222">
        <f t="shared" si="15"/>
        <v>1.5227194361613279E-2</v>
      </c>
      <c r="K27" s="68">
        <v>14</v>
      </c>
      <c r="L27" s="73">
        <f>26253221142+2000000000</f>
        <v>28253221142</v>
      </c>
      <c r="M27" s="223">
        <f t="shared" si="16"/>
        <v>7.0090153310585213E-2</v>
      </c>
      <c r="N27" s="68">
        <v>3</v>
      </c>
      <c r="O27" s="73">
        <v>162700000</v>
      </c>
      <c r="P27" s="224">
        <f t="shared" si="17"/>
        <v>9.2034746356666863E-4</v>
      </c>
      <c r="Q27" s="68">
        <v>1</v>
      </c>
      <c r="R27" s="73">
        <v>400000000</v>
      </c>
      <c r="S27" s="226">
        <f t="shared" si="18"/>
        <v>4.226247068663134E-3</v>
      </c>
      <c r="T27" s="68"/>
      <c r="U27" s="73"/>
      <c r="V27" s="218">
        <f t="shared" si="19"/>
        <v>0</v>
      </c>
      <c r="W27" s="27">
        <v>1</v>
      </c>
      <c r="X27" s="22">
        <v>150000000</v>
      </c>
      <c r="Y27" s="216">
        <f t="shared" si="20"/>
        <v>4.4075516050833758E-3</v>
      </c>
      <c r="Z27" s="68"/>
      <c r="AA27" s="73"/>
      <c r="AB27" s="227"/>
      <c r="AC27" s="82"/>
      <c r="AD27" s="73"/>
      <c r="AE27" s="214"/>
      <c r="AF27" s="112"/>
      <c r="AG27" s="63"/>
      <c r="AH27" s="214"/>
      <c r="AI27" s="21"/>
      <c r="AJ27" s="22"/>
      <c r="AK27" s="220">
        <f t="shared" si="21"/>
        <v>0</v>
      </c>
      <c r="AL27" s="137"/>
      <c r="AM27" s="22"/>
      <c r="AN27" s="216"/>
      <c r="AO27" s="137"/>
      <c r="AP27" s="22"/>
      <c r="AQ27" s="216"/>
      <c r="AR27" s="132">
        <f t="shared" si="22"/>
        <v>40</v>
      </c>
      <c r="AS27" s="73">
        <f>C27+F27+I27+L27+O27+R27+U27+X27+AA27+AD27+AG27+AJ27+AM27</f>
        <v>33946033226</v>
      </c>
      <c r="AT27" s="234">
        <f t="shared" si="23"/>
        <v>2.9158355047302627E-2</v>
      </c>
      <c r="AU27" s="5"/>
    </row>
    <row r="28" spans="1:52" s="78" customFormat="1" x14ac:dyDescent="0.25">
      <c r="A28" s="79" t="s">
        <v>30</v>
      </c>
      <c r="B28" s="72">
        <v>8</v>
      </c>
      <c r="C28" s="73">
        <v>10109500000</v>
      </c>
      <c r="D28" s="214">
        <f t="shared" si="13"/>
        <v>4.6560921684106193E-2</v>
      </c>
      <c r="E28" s="68">
        <v>20</v>
      </c>
      <c r="F28" s="73">
        <v>1703600000</v>
      </c>
      <c r="G28" s="216">
        <f t="shared" si="14"/>
        <v>2.1179658305103953E-2</v>
      </c>
      <c r="H28" s="68">
        <v>6</v>
      </c>
      <c r="I28" s="73">
        <v>3144600000</v>
      </c>
      <c r="J28" s="222">
        <f t="shared" si="15"/>
        <v>0.10248584262131141</v>
      </c>
      <c r="K28" s="68">
        <v>10</v>
      </c>
      <c r="L28" s="73">
        <v>25582875000</v>
      </c>
      <c r="M28" s="223">
        <f t="shared" si="16"/>
        <v>6.3465599970474962E-2</v>
      </c>
      <c r="N28" s="68">
        <v>5</v>
      </c>
      <c r="O28" s="73">
        <f>2700000000+3000000000</f>
        <v>5700000000</v>
      </c>
      <c r="P28" s="224">
        <f t="shared" si="17"/>
        <v>3.2243273155070751E-2</v>
      </c>
      <c r="Q28" s="68">
        <v>2</v>
      </c>
      <c r="R28" s="73">
        <v>396000000</v>
      </c>
      <c r="S28" s="226">
        <f t="shared" si="18"/>
        <v>4.1839845979765025E-3</v>
      </c>
      <c r="T28" s="68">
        <v>9</v>
      </c>
      <c r="U28" s="73">
        <v>754551100</v>
      </c>
      <c r="V28" s="218">
        <f t="shared" si="19"/>
        <v>1.0220565436831261E-2</v>
      </c>
      <c r="W28" s="27">
        <v>3</v>
      </c>
      <c r="X28" s="22">
        <v>60000000</v>
      </c>
      <c r="Y28" s="216">
        <f t="shared" si="20"/>
        <v>1.7630206420333504E-3</v>
      </c>
      <c r="Z28" s="68"/>
      <c r="AA28" s="73"/>
      <c r="AB28" s="227"/>
      <c r="AC28" s="82"/>
      <c r="AD28" s="73"/>
      <c r="AE28" s="214"/>
      <c r="AF28" s="132"/>
      <c r="AG28" s="74"/>
      <c r="AH28" s="214"/>
      <c r="AI28" s="142"/>
      <c r="AJ28" s="73"/>
      <c r="AK28" s="216">
        <f t="shared" si="21"/>
        <v>0</v>
      </c>
      <c r="AL28" s="137">
        <v>1</v>
      </c>
      <c r="AM28" s="73">
        <v>88056000</v>
      </c>
      <c r="AN28" s="216">
        <f>AM28/AM43</f>
        <v>1</v>
      </c>
      <c r="AO28" s="137"/>
      <c r="AP28" s="73"/>
      <c r="AQ28" s="216"/>
      <c r="AR28" s="132">
        <f t="shared" si="22"/>
        <v>64</v>
      </c>
      <c r="AS28" s="73">
        <f>C28+F28+I28+L28+O28+R28+U28+X28+AA28+AD28+AG28+AJ28+AM28</f>
        <v>47539182100</v>
      </c>
      <c r="AT28" s="234">
        <f t="shared" si="23"/>
        <v>4.0834354373649774E-2</v>
      </c>
    </row>
    <row r="29" spans="1:52" s="78" customFormat="1" ht="21" customHeight="1" x14ac:dyDescent="0.25">
      <c r="A29" s="79" t="s">
        <v>31</v>
      </c>
      <c r="B29" s="72">
        <v>27</v>
      </c>
      <c r="C29" s="73">
        <v>56411806000</v>
      </c>
      <c r="D29" s="214">
        <f t="shared" si="13"/>
        <v>0.25981360910282331</v>
      </c>
      <c r="E29" s="68">
        <v>14</v>
      </c>
      <c r="F29" s="73">
        <v>13360000000</v>
      </c>
      <c r="G29" s="216">
        <f t="shared" si="14"/>
        <v>0.16609546545913878</v>
      </c>
      <c r="H29" s="68">
        <v>18</v>
      </c>
      <c r="I29" s="73">
        <v>10350165000</v>
      </c>
      <c r="J29" s="222">
        <f t="shared" si="15"/>
        <v>0.3373228332044157</v>
      </c>
      <c r="K29" s="68">
        <v>18</v>
      </c>
      <c r="L29" s="73">
        <v>32921959250</v>
      </c>
      <c r="M29" s="223">
        <f t="shared" si="16"/>
        <v>8.1672286480889186E-2</v>
      </c>
      <c r="N29" s="68">
        <v>12</v>
      </c>
      <c r="O29" s="73">
        <v>28664730000</v>
      </c>
      <c r="P29" s="224">
        <f t="shared" si="17"/>
        <v>0.16214819636953529</v>
      </c>
      <c r="Q29" s="68">
        <v>14</v>
      </c>
      <c r="R29" s="73">
        <v>8791810000</v>
      </c>
      <c r="S29" s="226">
        <f t="shared" si="18"/>
        <v>9.2890903101858061E-2</v>
      </c>
      <c r="T29" s="68">
        <v>11</v>
      </c>
      <c r="U29" s="73">
        <v>31034500000</v>
      </c>
      <c r="V29" s="218">
        <f t="shared" si="19"/>
        <v>0.42036932694066681</v>
      </c>
      <c r="W29" s="27">
        <v>5</v>
      </c>
      <c r="X29" s="22">
        <f>8657000000+2000000000</f>
        <v>10657000000</v>
      </c>
      <c r="Y29" s="216">
        <f t="shared" si="20"/>
        <v>0.31314184970249026</v>
      </c>
      <c r="Z29" s="68"/>
      <c r="AA29" s="73"/>
      <c r="AB29" s="227"/>
      <c r="AC29" s="82">
        <v>1</v>
      </c>
      <c r="AD29" s="73">
        <v>1000000000</v>
      </c>
      <c r="AE29" s="214">
        <f>AD29/AD43</f>
        <v>1</v>
      </c>
      <c r="AF29" s="132"/>
      <c r="AG29" s="74"/>
      <c r="AH29" s="214"/>
      <c r="AI29" s="142"/>
      <c r="AJ29" s="73"/>
      <c r="AK29" s="216">
        <f t="shared" si="21"/>
        <v>0</v>
      </c>
      <c r="AL29" s="137"/>
      <c r="AM29" s="73"/>
      <c r="AN29" s="214"/>
      <c r="AO29" s="137">
        <v>1</v>
      </c>
      <c r="AP29" s="73">
        <v>32782400</v>
      </c>
      <c r="AQ29" s="214">
        <f>AP29/AP43</f>
        <v>1</v>
      </c>
      <c r="AR29" s="132">
        <f t="shared" si="22"/>
        <v>121</v>
      </c>
      <c r="AS29" s="73">
        <f>C29+F29+I29+L29+O29+R29+U29+X29+AA29+AD29+AG29+AJ29+AM29+AP29</f>
        <v>193224752650</v>
      </c>
      <c r="AT29" s="234">
        <f t="shared" si="23"/>
        <v>0.16597273396234816</v>
      </c>
    </row>
    <row r="30" spans="1:52" s="78" customFormat="1" ht="15.75" customHeight="1" x14ac:dyDescent="0.25">
      <c r="A30" s="79" t="s">
        <v>60</v>
      </c>
      <c r="B30" s="72">
        <v>20</v>
      </c>
      <c r="C30" s="73">
        <v>42822670300</v>
      </c>
      <c r="D30" s="214">
        <f t="shared" si="13"/>
        <v>0.19722666780182999</v>
      </c>
      <c r="E30" s="68">
        <v>4</v>
      </c>
      <c r="F30" s="73">
        <v>1550000000</v>
      </c>
      <c r="G30" s="216">
        <f t="shared" si="14"/>
        <v>1.927005774413661E-2</v>
      </c>
      <c r="H30" s="68">
        <v>6</v>
      </c>
      <c r="I30" s="73">
        <v>2366036186</v>
      </c>
      <c r="J30" s="222">
        <f t="shared" si="15"/>
        <v>7.7111623797851525E-2</v>
      </c>
      <c r="K30" s="68">
        <v>15</v>
      </c>
      <c r="L30" s="73">
        <f>14694524276+1800000000</f>
        <v>16494524276</v>
      </c>
      <c r="M30" s="223">
        <f t="shared" si="16"/>
        <v>4.0919360290972151E-2</v>
      </c>
      <c r="N30" s="68">
        <v>16</v>
      </c>
      <c r="O30" s="73">
        <v>22533916000</v>
      </c>
      <c r="P30" s="224">
        <f t="shared" si="17"/>
        <v>0.1274679313756876</v>
      </c>
      <c r="Q30" s="68">
        <v>6</v>
      </c>
      <c r="R30" s="73">
        <v>10162900000</v>
      </c>
      <c r="S30" s="226">
        <f t="shared" si="18"/>
        <v>0.10737731583529141</v>
      </c>
      <c r="T30" s="68">
        <v>14</v>
      </c>
      <c r="U30" s="73">
        <v>9961864000</v>
      </c>
      <c r="V30" s="218">
        <f t="shared" si="19"/>
        <v>0.13493570267780886</v>
      </c>
      <c r="W30" s="27"/>
      <c r="X30" s="22"/>
      <c r="Y30" s="216">
        <f t="shared" si="20"/>
        <v>0</v>
      </c>
      <c r="Z30" s="68"/>
      <c r="AA30" s="73"/>
      <c r="AB30" s="227"/>
      <c r="AC30" s="82"/>
      <c r="AD30" s="73"/>
      <c r="AE30" s="214"/>
      <c r="AF30" s="132"/>
      <c r="AG30" s="74"/>
      <c r="AH30" s="214"/>
      <c r="AI30" s="142"/>
      <c r="AJ30" s="73"/>
      <c r="AK30" s="216">
        <f t="shared" si="21"/>
        <v>0</v>
      </c>
      <c r="AL30" s="137"/>
      <c r="AM30" s="73"/>
      <c r="AN30" s="214"/>
      <c r="AO30" s="137"/>
      <c r="AP30" s="73"/>
      <c r="AQ30" s="214"/>
      <c r="AR30" s="132">
        <f t="shared" si="22"/>
        <v>81</v>
      </c>
      <c r="AS30" s="73">
        <f t="shared" ref="AS30:AS42" si="24">C30+F30+I30+L30+O30+R30+U30+X30+AA30+AD30+AG30+AJ30+AM30</f>
        <v>105891910762</v>
      </c>
      <c r="AT30" s="234">
        <f t="shared" si="23"/>
        <v>9.0957135111468537E-2</v>
      </c>
    </row>
    <row r="31" spans="1:52" s="78" customFormat="1" x14ac:dyDescent="0.25">
      <c r="A31" s="79" t="s">
        <v>32</v>
      </c>
      <c r="B31" s="72">
        <v>15</v>
      </c>
      <c r="C31" s="73">
        <v>10063000000</v>
      </c>
      <c r="D31" s="214">
        <f t="shared" si="13"/>
        <v>4.6346758485302009E-2</v>
      </c>
      <c r="E31" s="68">
        <v>9</v>
      </c>
      <c r="F31" s="73">
        <f>3457000000+100000000</f>
        <v>3557000000</v>
      </c>
      <c r="G31" s="216">
        <f t="shared" si="14"/>
        <v>4.422167444896382E-2</v>
      </c>
      <c r="H31" s="68">
        <v>5</v>
      </c>
      <c r="I31" s="73">
        <v>836500000</v>
      </c>
      <c r="J31" s="222">
        <f t="shared" si="15"/>
        <v>2.7262420451798955E-2</v>
      </c>
      <c r="K31" s="68">
        <v>15</v>
      </c>
      <c r="L31" s="73">
        <f>33684345847+1300000000</f>
        <v>34984345847</v>
      </c>
      <c r="M31" s="223">
        <f t="shared" si="16"/>
        <v>8.6788623200263815E-2</v>
      </c>
      <c r="N31" s="68">
        <v>21</v>
      </c>
      <c r="O31" s="73">
        <f>17990029499+550000000</f>
        <v>18540029499</v>
      </c>
      <c r="P31" s="224">
        <f t="shared" si="17"/>
        <v>0.10487565534023273</v>
      </c>
      <c r="Q31" s="68">
        <v>8</v>
      </c>
      <c r="R31" s="73">
        <f>11618000000+200000000</f>
        <v>11818000000</v>
      </c>
      <c r="S31" s="226">
        <f t="shared" si="18"/>
        <v>0.12486446964365229</v>
      </c>
      <c r="T31" s="68">
        <v>18</v>
      </c>
      <c r="U31" s="73">
        <v>8820422000</v>
      </c>
      <c r="V31" s="218">
        <f t="shared" si="19"/>
        <v>0.11947461243044516</v>
      </c>
      <c r="W31" s="27">
        <v>2</v>
      </c>
      <c r="X31" s="22">
        <v>1292500000</v>
      </c>
      <c r="Y31" s="216">
        <f t="shared" si="20"/>
        <v>3.7978402997135091E-2</v>
      </c>
      <c r="Z31" s="68"/>
      <c r="AA31" s="73"/>
      <c r="AB31" s="227"/>
      <c r="AC31" s="82"/>
      <c r="AD31" s="73"/>
      <c r="AE31" s="214"/>
      <c r="AF31" s="112"/>
      <c r="AG31" s="63"/>
      <c r="AH31" s="214"/>
      <c r="AI31" s="21"/>
      <c r="AJ31" s="22"/>
      <c r="AK31" s="220">
        <f t="shared" si="21"/>
        <v>0</v>
      </c>
      <c r="AL31" s="137"/>
      <c r="AM31" s="22"/>
      <c r="AN31" s="219"/>
      <c r="AO31" s="137"/>
      <c r="AP31" s="22"/>
      <c r="AQ31" s="219"/>
      <c r="AR31" s="132">
        <f t="shared" si="22"/>
        <v>93</v>
      </c>
      <c r="AS31" s="73">
        <f t="shared" si="24"/>
        <v>89911797346</v>
      </c>
      <c r="AT31" s="234">
        <f t="shared" si="23"/>
        <v>7.7230823775538776E-2</v>
      </c>
      <c r="AU31" s="5"/>
    </row>
    <row r="32" spans="1:52" x14ac:dyDescent="0.25">
      <c r="A32" s="47" t="s">
        <v>33</v>
      </c>
      <c r="B32" s="72">
        <v>10</v>
      </c>
      <c r="C32" s="73">
        <v>4434408000</v>
      </c>
      <c r="D32" s="214">
        <f t="shared" si="13"/>
        <v>2.0423376388879172E-2</v>
      </c>
      <c r="E32" s="68">
        <v>10</v>
      </c>
      <c r="F32" s="73">
        <v>1070500000</v>
      </c>
      <c r="G32" s="216">
        <f t="shared" si="14"/>
        <v>1.3308772138773059E-2</v>
      </c>
      <c r="H32" s="68">
        <v>5</v>
      </c>
      <c r="I32" s="73">
        <v>385151200</v>
      </c>
      <c r="J32" s="222">
        <f t="shared" si="15"/>
        <v>1.2552485298164865E-2</v>
      </c>
      <c r="K32" s="1">
        <v>17</v>
      </c>
      <c r="L32" s="22">
        <v>45355763000</v>
      </c>
      <c r="M32" s="223">
        <f t="shared" si="16"/>
        <v>0.11251787419958348</v>
      </c>
      <c r="N32" s="1"/>
      <c r="O32" s="22"/>
      <c r="P32" s="224">
        <f t="shared" si="17"/>
        <v>0</v>
      </c>
      <c r="Q32" s="1">
        <v>5</v>
      </c>
      <c r="R32" s="22">
        <v>8694598000</v>
      </c>
      <c r="S32" s="225">
        <f t="shared" si="18"/>
        <v>9.1863798276760861E-2</v>
      </c>
      <c r="T32" s="1">
        <v>4</v>
      </c>
      <c r="U32" s="22">
        <v>262551952</v>
      </c>
      <c r="V32" s="218">
        <f t="shared" si="19"/>
        <v>3.5563256166266017E-3</v>
      </c>
      <c r="W32" s="27"/>
      <c r="X32" s="22"/>
      <c r="Y32" s="220">
        <f t="shared" si="20"/>
        <v>0</v>
      </c>
      <c r="Z32" s="1"/>
      <c r="AA32" s="22"/>
      <c r="AB32" s="224"/>
      <c r="AC32" s="30"/>
      <c r="AD32" s="22"/>
      <c r="AE32" s="219"/>
      <c r="AF32" s="112"/>
      <c r="AG32" s="63"/>
      <c r="AH32" s="219"/>
      <c r="AI32" s="21"/>
      <c r="AJ32" s="22"/>
      <c r="AK32" s="220">
        <f t="shared" si="21"/>
        <v>0</v>
      </c>
      <c r="AL32" s="138"/>
      <c r="AM32" s="22"/>
      <c r="AN32" s="219"/>
      <c r="AO32" s="138"/>
      <c r="AP32" s="22"/>
      <c r="AQ32" s="219"/>
      <c r="AR32" s="132">
        <f t="shared" si="22"/>
        <v>51</v>
      </c>
      <c r="AS32" s="73">
        <f t="shared" si="24"/>
        <v>60202972152</v>
      </c>
      <c r="AT32" s="233">
        <f t="shared" si="23"/>
        <v>5.1712069720310498E-2</v>
      </c>
      <c r="AX32" s="5"/>
      <c r="AY32" s="5"/>
      <c r="AZ32" s="5"/>
    </row>
    <row r="33" spans="1:52" ht="26.25" customHeight="1" x14ac:dyDescent="0.25">
      <c r="A33" s="47" t="s">
        <v>34</v>
      </c>
      <c r="B33" s="72">
        <v>11</v>
      </c>
      <c r="C33" s="73">
        <v>5550200000</v>
      </c>
      <c r="D33" s="214">
        <f t="shared" si="13"/>
        <v>2.5562335182860302E-2</v>
      </c>
      <c r="E33" s="68">
        <v>9</v>
      </c>
      <c r="F33" s="73">
        <v>223826000</v>
      </c>
      <c r="G33" s="216">
        <f t="shared" si="14"/>
        <v>2.7826709320252392E-3</v>
      </c>
      <c r="H33" s="68">
        <v>9</v>
      </c>
      <c r="I33" s="73">
        <f>861910000-79900000</f>
        <v>782010000</v>
      </c>
      <c r="J33" s="222">
        <f t="shared" si="15"/>
        <v>2.548653367305595E-2</v>
      </c>
      <c r="K33" s="1">
        <v>23</v>
      </c>
      <c r="L33" s="22">
        <f>2600000000+20611670765.89+114000000+2000000000+1000000000</f>
        <v>26325670765.889999</v>
      </c>
      <c r="M33" s="223">
        <f t="shared" si="16"/>
        <v>6.5308316199113731E-2</v>
      </c>
      <c r="N33" s="1">
        <v>1</v>
      </c>
      <c r="O33" s="22">
        <f>100000000</f>
        <v>100000000</v>
      </c>
      <c r="P33" s="224">
        <f t="shared" si="17"/>
        <v>5.6567145886089038E-4</v>
      </c>
      <c r="Q33" s="1"/>
      <c r="R33" s="22"/>
      <c r="S33" s="225">
        <f t="shared" si="18"/>
        <v>0</v>
      </c>
      <c r="T33" s="1">
        <v>5</v>
      </c>
      <c r="U33" s="22">
        <f>2511291392+287640000</f>
        <v>2798931392</v>
      </c>
      <c r="V33" s="218">
        <f t="shared" si="19"/>
        <v>3.791215922306284E-2</v>
      </c>
      <c r="W33" s="27"/>
      <c r="X33" s="22"/>
      <c r="Y33" s="220">
        <f t="shared" si="20"/>
        <v>0</v>
      </c>
      <c r="Z33" s="1"/>
      <c r="AA33" s="22"/>
      <c r="AB33" s="224"/>
      <c r="AC33" s="30"/>
      <c r="AD33" s="22"/>
      <c r="AE33" s="219"/>
      <c r="AF33" s="112"/>
      <c r="AG33" s="63"/>
      <c r="AH33" s="219"/>
      <c r="AI33" s="21"/>
      <c r="AJ33" s="22"/>
      <c r="AK33" s="220">
        <f t="shared" si="21"/>
        <v>0</v>
      </c>
      <c r="AL33" s="138"/>
      <c r="AM33" s="22"/>
      <c r="AN33" s="219"/>
      <c r="AO33" s="138"/>
      <c r="AP33" s="22"/>
      <c r="AQ33" s="219"/>
      <c r="AR33" s="132">
        <f t="shared" si="22"/>
        <v>58</v>
      </c>
      <c r="AS33" s="73">
        <f t="shared" si="24"/>
        <v>35780638157.889999</v>
      </c>
      <c r="AT33" s="233">
        <f t="shared" si="23"/>
        <v>3.0734211101511894E-2</v>
      </c>
      <c r="AX33" s="5"/>
      <c r="AY33" s="5"/>
      <c r="AZ33" s="5"/>
    </row>
    <row r="34" spans="1:52" s="78" customFormat="1" x14ac:dyDescent="0.25">
      <c r="A34" s="79" t="s">
        <v>35</v>
      </c>
      <c r="B34" s="72">
        <v>1</v>
      </c>
      <c r="C34" s="73">
        <v>100000000</v>
      </c>
      <c r="D34" s="214">
        <f t="shared" si="13"/>
        <v>4.6056601893373753E-4</v>
      </c>
      <c r="E34" s="68">
        <v>9</v>
      </c>
      <c r="F34" s="73">
        <v>688000000</v>
      </c>
      <c r="G34" s="216">
        <f t="shared" si="14"/>
        <v>8.5534191793328954E-3</v>
      </c>
      <c r="H34" s="68">
        <v>2</v>
      </c>
      <c r="I34" s="73">
        <f>25700000+79900000</f>
        <v>105600000</v>
      </c>
      <c r="J34" s="222">
        <f t="shared" si="15"/>
        <v>3.4416157796891447E-3</v>
      </c>
      <c r="K34" s="68">
        <v>26</v>
      </c>
      <c r="L34" s="73">
        <v>24451200000</v>
      </c>
      <c r="M34" s="223">
        <f t="shared" si="16"/>
        <v>6.0658158162367498E-2</v>
      </c>
      <c r="N34" s="68">
        <v>11</v>
      </c>
      <c r="O34" s="73">
        <v>21489969000</v>
      </c>
      <c r="P34" s="224">
        <f t="shared" si="17"/>
        <v>0.1215626211510531</v>
      </c>
      <c r="Q34" s="68"/>
      <c r="R34" s="73"/>
      <c r="S34" s="226">
        <f t="shared" si="18"/>
        <v>0</v>
      </c>
      <c r="T34" s="68">
        <v>8</v>
      </c>
      <c r="U34" s="73">
        <v>8358000000</v>
      </c>
      <c r="V34" s="218">
        <f t="shared" si="19"/>
        <v>0.11321100177447981</v>
      </c>
      <c r="W34" s="27">
        <v>2</v>
      </c>
      <c r="X34" s="22">
        <v>250000000</v>
      </c>
      <c r="Y34" s="216">
        <f t="shared" si="20"/>
        <v>7.3459193418056266E-3</v>
      </c>
      <c r="Z34" s="68"/>
      <c r="AA34" s="73"/>
      <c r="AB34" s="227"/>
      <c r="AC34" s="82"/>
      <c r="AD34" s="73"/>
      <c r="AE34" s="214"/>
      <c r="AF34" s="132"/>
      <c r="AG34" s="74"/>
      <c r="AH34" s="214"/>
      <c r="AI34" s="142"/>
      <c r="AJ34" s="73"/>
      <c r="AK34" s="216">
        <f t="shared" si="21"/>
        <v>0</v>
      </c>
      <c r="AL34" s="137"/>
      <c r="AM34" s="73"/>
      <c r="AN34" s="214"/>
      <c r="AO34" s="137"/>
      <c r="AP34" s="73"/>
      <c r="AQ34" s="214"/>
      <c r="AR34" s="132">
        <f t="shared" si="22"/>
        <v>59</v>
      </c>
      <c r="AS34" s="73">
        <f t="shared" si="24"/>
        <v>55442769000</v>
      </c>
      <c r="AT34" s="234">
        <f t="shared" si="23"/>
        <v>4.7623235756140705E-2</v>
      </c>
    </row>
    <row r="35" spans="1:52" s="78" customFormat="1" ht="14.25" customHeight="1" x14ac:dyDescent="0.25">
      <c r="A35" s="79" t="s">
        <v>36</v>
      </c>
      <c r="B35" s="72">
        <v>28</v>
      </c>
      <c r="C35" s="73">
        <f>20560731475+465000000</f>
        <v>21025731475</v>
      </c>
      <c r="D35" s="214">
        <f t="shared" si="13"/>
        <v>9.6837374406105306E-2</v>
      </c>
      <c r="E35" s="68">
        <v>15</v>
      </c>
      <c r="F35" s="73">
        <v>1957765300</v>
      </c>
      <c r="G35" s="216">
        <f t="shared" si="14"/>
        <v>2.4339516374494795E-2</v>
      </c>
      <c r="H35" s="68">
        <v>9</v>
      </c>
      <c r="I35" s="73">
        <v>6348080000</v>
      </c>
      <c r="J35" s="222">
        <f t="shared" si="15"/>
        <v>0.20689064676826768</v>
      </c>
      <c r="K35" s="68">
        <v>12</v>
      </c>
      <c r="L35" s="73">
        <v>3107500000</v>
      </c>
      <c r="M35" s="223">
        <f t="shared" si="16"/>
        <v>7.7090378586554846E-3</v>
      </c>
      <c r="N35" s="68"/>
      <c r="O35" s="73"/>
      <c r="P35" s="224">
        <f t="shared" si="17"/>
        <v>0</v>
      </c>
      <c r="Q35" s="68">
        <v>8</v>
      </c>
      <c r="R35" s="73">
        <v>12728500000</v>
      </c>
      <c r="S35" s="226">
        <f t="shared" si="18"/>
        <v>0.13448446453369675</v>
      </c>
      <c r="T35" s="68">
        <v>5</v>
      </c>
      <c r="U35" s="73">
        <v>606000000</v>
      </c>
      <c r="V35" s="218">
        <f t="shared" si="19"/>
        <v>8.2084071638352189E-3</v>
      </c>
      <c r="W35" s="27">
        <v>4</v>
      </c>
      <c r="X35" s="22">
        <v>1090000000</v>
      </c>
      <c r="Y35" s="216">
        <f t="shared" si="20"/>
        <v>3.2028208330272534E-2</v>
      </c>
      <c r="Z35" s="68"/>
      <c r="AA35" s="73"/>
      <c r="AB35" s="227"/>
      <c r="AC35" s="82"/>
      <c r="AD35" s="73"/>
      <c r="AE35" s="214"/>
      <c r="AF35" s="112"/>
      <c r="AG35" s="63"/>
      <c r="AH35" s="214"/>
      <c r="AI35" s="21"/>
      <c r="AJ35" s="22"/>
      <c r="AK35" s="220">
        <f t="shared" si="21"/>
        <v>0</v>
      </c>
      <c r="AL35" s="137"/>
      <c r="AM35" s="22"/>
      <c r="AN35" s="219"/>
      <c r="AO35" s="137"/>
      <c r="AP35" s="22"/>
      <c r="AQ35" s="219"/>
      <c r="AR35" s="132">
        <f t="shared" si="22"/>
        <v>81</v>
      </c>
      <c r="AS35" s="73">
        <f t="shared" si="24"/>
        <v>46863576775</v>
      </c>
      <c r="AT35" s="234">
        <f t="shared" si="23"/>
        <v>4.025403502360831E-2</v>
      </c>
      <c r="AU35" s="5"/>
    </row>
    <row r="36" spans="1:52" s="78" customFormat="1" ht="20.25" customHeight="1" x14ac:dyDescent="0.25">
      <c r="A36" s="79" t="s">
        <v>37</v>
      </c>
      <c r="B36" s="72">
        <v>7</v>
      </c>
      <c r="C36" s="73">
        <v>940300000</v>
      </c>
      <c r="D36" s="214">
        <f t="shared" si="13"/>
        <v>4.3307022760339341E-3</v>
      </c>
      <c r="E36" s="68">
        <v>7</v>
      </c>
      <c r="F36" s="73">
        <v>1089000000</v>
      </c>
      <c r="G36" s="216">
        <f t="shared" si="14"/>
        <v>1.3538769602170818E-2</v>
      </c>
      <c r="H36" s="68"/>
      <c r="I36" s="73"/>
      <c r="J36" s="222">
        <f t="shared" si="15"/>
        <v>0</v>
      </c>
      <c r="K36" s="68">
        <v>17</v>
      </c>
      <c r="L36" s="73">
        <f>7699328256+300000000</f>
        <v>7999328256</v>
      </c>
      <c r="M36" s="223">
        <f t="shared" si="16"/>
        <v>1.9844609612008544E-2</v>
      </c>
      <c r="N36" s="68"/>
      <c r="O36" s="73"/>
      <c r="P36" s="224">
        <f t="shared" si="17"/>
        <v>0</v>
      </c>
      <c r="Q36" s="68">
        <v>3</v>
      </c>
      <c r="R36" s="73">
        <v>481000000</v>
      </c>
      <c r="S36" s="226">
        <f t="shared" si="18"/>
        <v>5.0820621000674179E-3</v>
      </c>
      <c r="T36" s="68">
        <v>10</v>
      </c>
      <c r="U36" s="73">
        <v>1527000000</v>
      </c>
      <c r="V36" s="218">
        <f t="shared" si="19"/>
        <v>2.0683560625703597E-2</v>
      </c>
      <c r="W36" s="27"/>
      <c r="X36" s="22"/>
      <c r="Y36" s="216">
        <f t="shared" si="20"/>
        <v>0</v>
      </c>
      <c r="Z36" s="68"/>
      <c r="AA36" s="73"/>
      <c r="AB36" s="227"/>
      <c r="AC36" s="82"/>
      <c r="AD36" s="73"/>
      <c r="AE36" s="214"/>
      <c r="AF36" s="112"/>
      <c r="AG36" s="63"/>
      <c r="AH36" s="214"/>
      <c r="AI36" s="21"/>
      <c r="AJ36" s="22"/>
      <c r="AK36" s="220">
        <f t="shared" si="21"/>
        <v>0</v>
      </c>
      <c r="AL36" s="137"/>
      <c r="AM36" s="22"/>
      <c r="AN36" s="219"/>
      <c r="AO36" s="137"/>
      <c r="AP36" s="22"/>
      <c r="AQ36" s="219"/>
      <c r="AR36" s="132">
        <f t="shared" si="22"/>
        <v>44</v>
      </c>
      <c r="AS36" s="73">
        <f t="shared" si="24"/>
        <v>12036628256</v>
      </c>
      <c r="AT36" s="234">
        <f t="shared" si="23"/>
        <v>1.033900715068024E-2</v>
      </c>
      <c r="AU36" s="5"/>
    </row>
    <row r="37" spans="1:52" s="78" customFormat="1" x14ac:dyDescent="0.25">
      <c r="A37" s="79" t="s">
        <v>38</v>
      </c>
      <c r="B37" s="72">
        <v>5</v>
      </c>
      <c r="C37" s="73">
        <v>318196616</v>
      </c>
      <c r="D37" s="214">
        <f t="shared" si="13"/>
        <v>1.4655054866930721E-3</v>
      </c>
      <c r="E37" s="68">
        <v>5</v>
      </c>
      <c r="F37" s="73">
        <v>10877500000</v>
      </c>
      <c r="G37" s="216">
        <f t="shared" si="14"/>
        <v>0.13523229233022321</v>
      </c>
      <c r="H37" s="68">
        <v>11</v>
      </c>
      <c r="I37" s="73">
        <v>1120000000</v>
      </c>
      <c r="J37" s="222">
        <f t="shared" si="15"/>
        <v>3.6501985542157597E-2</v>
      </c>
      <c r="K37" s="68">
        <v>25</v>
      </c>
      <c r="L37" s="73">
        <v>10708119550</v>
      </c>
      <c r="M37" s="223">
        <f t="shared" si="16"/>
        <v>2.6564537089608667E-2</v>
      </c>
      <c r="N37" s="68">
        <v>3</v>
      </c>
      <c r="O37" s="73">
        <v>935000000</v>
      </c>
      <c r="P37" s="224">
        <f t="shared" si="17"/>
        <v>5.2890281403493253E-3</v>
      </c>
      <c r="Q37" s="68">
        <v>4</v>
      </c>
      <c r="R37" s="73">
        <f>295000000+250000000</f>
        <v>545000000</v>
      </c>
      <c r="S37" s="226">
        <f t="shared" si="18"/>
        <v>5.75826163105352E-3</v>
      </c>
      <c r="T37" s="68">
        <v>10</v>
      </c>
      <c r="U37" s="73">
        <v>2105803450</v>
      </c>
      <c r="V37" s="218">
        <f t="shared" si="19"/>
        <v>2.8523584364041121E-2</v>
      </c>
      <c r="W37" s="27">
        <v>1</v>
      </c>
      <c r="X37" s="22">
        <v>100000000</v>
      </c>
      <c r="Y37" s="216">
        <f t="shared" si="20"/>
        <v>2.9383677367222508E-3</v>
      </c>
      <c r="Z37" s="68">
        <v>1</v>
      </c>
      <c r="AA37" s="73">
        <v>15500000</v>
      </c>
      <c r="AB37" s="227">
        <f>AA37/AA43</f>
        <v>0.38271604938271603</v>
      </c>
      <c r="AC37" s="82"/>
      <c r="AD37" s="73"/>
      <c r="AE37" s="214"/>
      <c r="AF37" s="132"/>
      <c r="AG37" s="74"/>
      <c r="AH37" s="214"/>
      <c r="AI37" s="142"/>
      <c r="AJ37" s="73"/>
      <c r="AK37" s="216">
        <f t="shared" si="21"/>
        <v>0</v>
      </c>
      <c r="AL37" s="137"/>
      <c r="AM37" s="73"/>
      <c r="AN37" s="214"/>
      <c r="AO37" s="137"/>
      <c r="AP37" s="73"/>
      <c r="AQ37" s="214"/>
      <c r="AR37" s="132">
        <f t="shared" si="22"/>
        <v>65</v>
      </c>
      <c r="AS37" s="73">
        <f t="shared" si="24"/>
        <v>26725119616</v>
      </c>
      <c r="AT37" s="234">
        <f t="shared" si="23"/>
        <v>2.2955864128716742E-2</v>
      </c>
    </row>
    <row r="38" spans="1:52" x14ac:dyDescent="0.25">
      <c r="A38" s="47" t="s">
        <v>39</v>
      </c>
      <c r="B38" s="72">
        <v>3</v>
      </c>
      <c r="C38" s="73">
        <v>583700000</v>
      </c>
      <c r="D38" s="214">
        <f t="shared" si="13"/>
        <v>2.6883238525162259E-3</v>
      </c>
      <c r="E38" s="68">
        <v>8</v>
      </c>
      <c r="F38" s="73">
        <f>339856000+500000000+500000000</f>
        <v>1339856000</v>
      </c>
      <c r="G38" s="216">
        <f t="shared" si="14"/>
        <v>1.6657485476663163E-2</v>
      </c>
      <c r="H38" s="68">
        <v>2</v>
      </c>
      <c r="I38" s="73">
        <f>381000000+500000000</f>
        <v>881000000</v>
      </c>
      <c r="J38" s="222">
        <f t="shared" si="15"/>
        <v>2.8712722555929323E-2</v>
      </c>
      <c r="K38" s="1">
        <v>9</v>
      </c>
      <c r="L38" s="22">
        <v>4796000000</v>
      </c>
      <c r="M38" s="223">
        <f t="shared" si="16"/>
        <v>1.18978425004382E-2</v>
      </c>
      <c r="N38" s="1">
        <v>11</v>
      </c>
      <c r="O38" s="22">
        <v>4800000000</v>
      </c>
      <c r="P38" s="224">
        <f t="shared" si="17"/>
        <v>2.7152230025322736E-2</v>
      </c>
      <c r="Q38" s="1">
        <v>9</v>
      </c>
      <c r="R38" s="22">
        <v>1659498139</v>
      </c>
      <c r="S38" s="225">
        <f t="shared" si="18"/>
        <v>1.7533622863501689E-2</v>
      </c>
      <c r="T38" s="1">
        <v>4</v>
      </c>
      <c r="U38" s="22">
        <v>512593233.00999999</v>
      </c>
      <c r="V38" s="218">
        <f t="shared" si="19"/>
        <v>6.9431913629913189E-3</v>
      </c>
      <c r="W38" s="27"/>
      <c r="X38" s="22"/>
      <c r="Y38" s="220">
        <f t="shared" si="20"/>
        <v>0</v>
      </c>
      <c r="Z38" s="1"/>
      <c r="AA38" s="22"/>
      <c r="AB38" s="224"/>
      <c r="AC38" s="30"/>
      <c r="AD38" s="22"/>
      <c r="AE38" s="219"/>
      <c r="AF38" s="112">
        <v>1</v>
      </c>
      <c r="AG38" s="63">
        <v>47182542440</v>
      </c>
      <c r="AH38" s="219">
        <f>AG38/AG43</f>
        <v>0.90613953136180725</v>
      </c>
      <c r="AI38" s="21"/>
      <c r="AJ38" s="22"/>
      <c r="AK38" s="220">
        <f t="shared" si="21"/>
        <v>0</v>
      </c>
      <c r="AL38" s="138"/>
      <c r="AM38" s="22"/>
      <c r="AN38" s="219"/>
      <c r="AO38" s="138"/>
      <c r="AP38" s="22"/>
      <c r="AQ38" s="219"/>
      <c r="AR38" s="132">
        <f t="shared" si="22"/>
        <v>47</v>
      </c>
      <c r="AS38" s="73">
        <f t="shared" si="24"/>
        <v>61755189812.010002</v>
      </c>
      <c r="AT38" s="233">
        <f t="shared" si="23"/>
        <v>5.3045365818265154E-2</v>
      </c>
      <c r="AX38" s="5"/>
      <c r="AY38" s="5"/>
      <c r="AZ38" s="5"/>
    </row>
    <row r="39" spans="1:52" x14ac:dyDescent="0.25">
      <c r="A39" s="47" t="s">
        <v>40</v>
      </c>
      <c r="B39" s="72">
        <v>10</v>
      </c>
      <c r="C39" s="73">
        <v>15750000000</v>
      </c>
      <c r="D39" s="214">
        <f t="shared" si="13"/>
        <v>7.2539147982063665E-2</v>
      </c>
      <c r="E39" s="87">
        <v>9</v>
      </c>
      <c r="F39" s="73">
        <v>1896208300</v>
      </c>
      <c r="G39" s="216">
        <f t="shared" si="14"/>
        <v>2.3574221571555559E-2</v>
      </c>
      <c r="H39" s="87">
        <v>4</v>
      </c>
      <c r="I39" s="73">
        <v>91100000</v>
      </c>
      <c r="J39" s="222">
        <f t="shared" si="15"/>
        <v>2.9690454311522832E-3</v>
      </c>
      <c r="K39" s="8">
        <v>15</v>
      </c>
      <c r="L39" s="22">
        <f>27405126660+1000000000</f>
        <v>28405126660</v>
      </c>
      <c r="M39" s="223">
        <f t="shared" si="16"/>
        <v>7.0466998166321557E-2</v>
      </c>
      <c r="N39" s="8">
        <v>3</v>
      </c>
      <c r="O39" s="22">
        <v>4150000000</v>
      </c>
      <c r="P39" s="224">
        <f t="shared" si="17"/>
        <v>2.3475365542726952E-2</v>
      </c>
      <c r="Q39" s="8">
        <v>3</v>
      </c>
      <c r="R39" s="22">
        <f>6200000000+3431908000</f>
        <v>9631908000</v>
      </c>
      <c r="S39" s="225">
        <f t="shared" si="18"/>
        <v>0.10176705737658247</v>
      </c>
      <c r="T39" s="8">
        <v>10</v>
      </c>
      <c r="U39" s="22">
        <v>848000000</v>
      </c>
      <c r="V39" s="218">
        <f t="shared" si="19"/>
        <v>1.1486351938832122E-2</v>
      </c>
      <c r="W39" s="27">
        <v>2</v>
      </c>
      <c r="X39" s="22">
        <v>1810000000</v>
      </c>
      <c r="Y39" s="220">
        <f t="shared" si="20"/>
        <v>5.3184456034672742E-2</v>
      </c>
      <c r="Z39" s="8"/>
      <c r="AA39" s="22"/>
      <c r="AB39" s="228"/>
      <c r="AC39" s="30"/>
      <c r="AD39" s="22"/>
      <c r="AE39" s="219"/>
      <c r="AF39" s="112">
        <v>1</v>
      </c>
      <c r="AG39" s="63">
        <v>4887299794</v>
      </c>
      <c r="AH39" s="219">
        <f>AG39/AG43</f>
        <v>9.3860468638192723E-2</v>
      </c>
      <c r="AI39" s="21"/>
      <c r="AJ39" s="22"/>
      <c r="AK39" s="220">
        <f t="shared" si="21"/>
        <v>0</v>
      </c>
      <c r="AL39" s="138"/>
      <c r="AM39" s="22"/>
      <c r="AN39" s="219"/>
      <c r="AO39" s="138"/>
      <c r="AP39" s="22"/>
      <c r="AQ39" s="219"/>
      <c r="AR39" s="132">
        <f t="shared" si="22"/>
        <v>57</v>
      </c>
      <c r="AS39" s="73">
        <f t="shared" si="24"/>
        <v>67469642754</v>
      </c>
      <c r="AT39" s="233">
        <f t="shared" si="23"/>
        <v>5.7953864159568443E-2</v>
      </c>
      <c r="AX39" s="5"/>
      <c r="AY39" s="5"/>
      <c r="AZ39" s="5"/>
    </row>
    <row r="40" spans="1:52" s="78" customFormat="1" x14ac:dyDescent="0.25">
      <c r="A40" s="79" t="s">
        <v>41</v>
      </c>
      <c r="B40" s="72">
        <v>6</v>
      </c>
      <c r="C40" s="73">
        <v>1130000000</v>
      </c>
      <c r="D40" s="214">
        <f t="shared" si="13"/>
        <v>5.2043960139512343E-3</v>
      </c>
      <c r="E40" s="87">
        <v>12</v>
      </c>
      <c r="F40" s="73">
        <f>6958994000+400000000</f>
        <v>7358994000</v>
      </c>
      <c r="G40" s="216">
        <f t="shared" si="14"/>
        <v>9.148918665726119E-2</v>
      </c>
      <c r="H40" s="87">
        <v>5</v>
      </c>
      <c r="I40" s="73">
        <v>458500000</v>
      </c>
      <c r="J40" s="214">
        <f t="shared" si="15"/>
        <v>1.4943000331320766E-2</v>
      </c>
      <c r="K40" s="87">
        <v>15</v>
      </c>
      <c r="L40" s="73">
        <v>21203038720</v>
      </c>
      <c r="M40" s="223">
        <f t="shared" si="16"/>
        <v>5.2600169979410499E-2</v>
      </c>
      <c r="N40" s="87">
        <v>4</v>
      </c>
      <c r="O40" s="73">
        <v>10479000000</v>
      </c>
      <c r="P40" s="224">
        <f t="shared" si="17"/>
        <v>5.92767121740327E-2</v>
      </c>
      <c r="Q40" s="68">
        <v>6</v>
      </c>
      <c r="R40" s="73">
        <v>700000000</v>
      </c>
      <c r="S40" s="226">
        <f t="shared" si="18"/>
        <v>7.3959323701604839E-3</v>
      </c>
      <c r="T40" s="87">
        <v>15</v>
      </c>
      <c r="U40" s="73">
        <v>3488130000</v>
      </c>
      <c r="V40" s="218">
        <f t="shared" si="19"/>
        <v>4.7247510363677463E-2</v>
      </c>
      <c r="W40" s="27">
        <v>2</v>
      </c>
      <c r="X40" s="22">
        <v>3700000000</v>
      </c>
      <c r="Y40" s="216">
        <f t="shared" si="20"/>
        <v>0.10871960625872328</v>
      </c>
      <c r="Z40" s="87"/>
      <c r="AA40" s="73"/>
      <c r="AB40" s="229"/>
      <c r="AC40" s="89"/>
      <c r="AD40" s="73"/>
      <c r="AE40" s="214"/>
      <c r="AF40" s="132"/>
      <c r="AG40" s="74"/>
      <c r="AH40" s="214"/>
      <c r="AI40" s="142">
        <v>1</v>
      </c>
      <c r="AJ40" s="73">
        <v>336286250</v>
      </c>
      <c r="AK40" s="216">
        <f t="shared" si="21"/>
        <v>1</v>
      </c>
      <c r="AL40" s="158"/>
      <c r="AM40" s="86"/>
      <c r="AN40" s="218"/>
      <c r="AO40" s="158"/>
      <c r="AP40" s="86"/>
      <c r="AQ40" s="218"/>
      <c r="AR40" s="132">
        <f t="shared" si="22"/>
        <v>66</v>
      </c>
      <c r="AS40" s="73">
        <f t="shared" si="24"/>
        <v>48853948970</v>
      </c>
      <c r="AT40" s="234">
        <f t="shared" si="23"/>
        <v>4.1963689248940242E-2</v>
      </c>
    </row>
    <row r="41" spans="1:52" x14ac:dyDescent="0.25">
      <c r="A41" s="47" t="s">
        <v>67</v>
      </c>
      <c r="B41" s="72">
        <v>1</v>
      </c>
      <c r="C41" s="73">
        <v>440000000</v>
      </c>
      <c r="D41" s="214"/>
      <c r="E41" s="87">
        <v>1</v>
      </c>
      <c r="F41" s="73">
        <v>300000000</v>
      </c>
      <c r="G41" s="216">
        <f t="shared" si="14"/>
        <v>3.7296885956393439E-3</v>
      </c>
      <c r="H41" s="87"/>
      <c r="I41" s="73"/>
      <c r="J41" s="214">
        <f t="shared" si="15"/>
        <v>0</v>
      </c>
      <c r="K41" s="8"/>
      <c r="L41" s="22"/>
      <c r="M41" s="223">
        <f t="shared" si="16"/>
        <v>0</v>
      </c>
      <c r="N41" s="8">
        <v>1</v>
      </c>
      <c r="O41" s="22">
        <v>650000000</v>
      </c>
      <c r="P41" s="224">
        <f t="shared" si="17"/>
        <v>3.6768644825957873E-3</v>
      </c>
      <c r="Q41" s="64">
        <v>2</v>
      </c>
      <c r="R41" s="22">
        <f>200000000+250000000</f>
        <v>450000000</v>
      </c>
      <c r="S41" s="226">
        <f t="shared" si="18"/>
        <v>4.7545279522460257E-3</v>
      </c>
      <c r="T41" s="8"/>
      <c r="U41" s="22"/>
      <c r="V41" s="218">
        <f t="shared" si="19"/>
        <v>0</v>
      </c>
      <c r="W41" s="27"/>
      <c r="X41" s="22"/>
      <c r="Y41" s="220">
        <f t="shared" si="20"/>
        <v>0</v>
      </c>
      <c r="Z41" s="8"/>
      <c r="AA41" s="22"/>
      <c r="AB41" s="228"/>
      <c r="AC41" s="204"/>
      <c r="AD41" s="22"/>
      <c r="AE41" s="219"/>
      <c r="AF41" s="112"/>
      <c r="AG41" s="63"/>
      <c r="AH41" s="219"/>
      <c r="AI41" s="21"/>
      <c r="AJ41" s="22"/>
      <c r="AK41" s="220"/>
      <c r="AL41" s="205"/>
      <c r="AM41" s="195"/>
      <c r="AN41" s="232"/>
      <c r="AO41" s="205"/>
      <c r="AP41" s="195"/>
      <c r="AQ41" s="232"/>
      <c r="AR41" s="132">
        <f t="shared" si="22"/>
        <v>5</v>
      </c>
      <c r="AS41" s="73">
        <f t="shared" si="24"/>
        <v>1840000000</v>
      </c>
      <c r="AT41" s="234">
        <f t="shared" si="23"/>
        <v>1.5804902130934135E-3</v>
      </c>
      <c r="AX41" s="5"/>
      <c r="AY41" s="5"/>
      <c r="AZ41" s="5"/>
    </row>
    <row r="42" spans="1:52" s="78" customFormat="1" ht="15.75" thickBot="1" x14ac:dyDescent="0.3">
      <c r="A42" s="85" t="s">
        <v>61</v>
      </c>
      <c r="B42" s="197"/>
      <c r="C42" s="119"/>
      <c r="D42" s="214">
        <f>C42/$C$43</f>
        <v>0</v>
      </c>
      <c r="E42" s="163">
        <v>2</v>
      </c>
      <c r="F42" s="159">
        <v>558782000</v>
      </c>
      <c r="G42" s="221">
        <f>F42/$F$43</f>
        <v>6.9469428428284791E-3</v>
      </c>
      <c r="H42" s="163"/>
      <c r="I42" s="164"/>
      <c r="J42" s="214">
        <f>I42/$I$43</f>
        <v>0</v>
      </c>
      <c r="K42" s="163"/>
      <c r="L42" s="159"/>
      <c r="M42" s="223">
        <f>L42/$L$43</f>
        <v>0</v>
      </c>
      <c r="N42" s="163"/>
      <c r="O42" s="161"/>
      <c r="P42" s="224">
        <f>O42/$O$43</f>
        <v>0</v>
      </c>
      <c r="Q42" s="160">
        <v>4</v>
      </c>
      <c r="R42" s="161">
        <f>200000000+400000000+100000000</f>
        <v>700000000</v>
      </c>
      <c r="S42" s="226">
        <f>R42/$R$43</f>
        <v>7.3959323701604839E-3</v>
      </c>
      <c r="T42" s="163">
        <v>2</v>
      </c>
      <c r="U42" s="161">
        <v>375000000</v>
      </c>
      <c r="V42" s="218">
        <f>U42/$U$43</f>
        <v>5.0794598786109025E-3</v>
      </c>
      <c r="W42" s="27"/>
      <c r="X42" s="22"/>
      <c r="Y42" s="216">
        <f t="shared" si="20"/>
        <v>0</v>
      </c>
      <c r="Z42" s="163"/>
      <c r="AA42" s="161"/>
      <c r="AB42" s="217"/>
      <c r="AC42" s="165"/>
      <c r="AD42" s="161"/>
      <c r="AE42" s="231"/>
      <c r="AF42" s="165"/>
      <c r="AG42" s="159"/>
      <c r="AH42" s="217"/>
      <c r="AI42" s="162"/>
      <c r="AJ42" s="154"/>
      <c r="AK42" s="216">
        <f>AJ42/$AJ$43</f>
        <v>0</v>
      </c>
      <c r="AL42" s="166"/>
      <c r="AM42" s="119"/>
      <c r="AN42" s="217"/>
      <c r="AO42" s="166"/>
      <c r="AP42" s="119"/>
      <c r="AQ42" s="217"/>
      <c r="AR42" s="132">
        <f t="shared" si="22"/>
        <v>8</v>
      </c>
      <c r="AS42" s="73">
        <f t="shared" si="24"/>
        <v>1633782000</v>
      </c>
      <c r="AT42" s="234">
        <f t="shared" si="23"/>
        <v>1.4033567724609692E-3</v>
      </c>
    </row>
    <row r="43" spans="1:52" s="18" customFormat="1" ht="27.75" customHeight="1" thickBot="1" x14ac:dyDescent="0.3">
      <c r="A43" s="15" t="s">
        <v>3</v>
      </c>
      <c r="B43" s="175">
        <f>SUM(B24:B42)</f>
        <v>197</v>
      </c>
      <c r="C43" s="121">
        <f>SUM(C24:C42)</f>
        <v>217124138319</v>
      </c>
      <c r="D43" s="176">
        <f t="shared" ref="D43:AT43" si="25">SUM(D24:D42)</f>
        <v>0.99797350951669161</v>
      </c>
      <c r="E43" s="170">
        <f t="shared" si="25"/>
        <v>182</v>
      </c>
      <c r="F43" s="121">
        <f>SUM(F24:F42)</f>
        <v>80435669710</v>
      </c>
      <c r="G43" s="176">
        <f t="shared" si="25"/>
        <v>1</v>
      </c>
      <c r="H43" s="170">
        <f t="shared" si="25"/>
        <v>105</v>
      </c>
      <c r="I43" s="121">
        <f>SUM(I24:I42)</f>
        <v>30683262386</v>
      </c>
      <c r="J43" s="176">
        <f t="shared" si="25"/>
        <v>1</v>
      </c>
      <c r="K43" s="41">
        <f t="shared" si="25"/>
        <v>308</v>
      </c>
      <c r="L43" s="25">
        <f>SUM(L24:L42)</f>
        <v>403098292805.89001</v>
      </c>
      <c r="M43" s="16">
        <f t="shared" si="25"/>
        <v>1</v>
      </c>
      <c r="N43" s="167">
        <f t="shared" si="25"/>
        <v>113</v>
      </c>
      <c r="O43" s="23">
        <f>SUM(O24:O42)</f>
        <v>176781059807</v>
      </c>
      <c r="P43" s="16">
        <f t="shared" si="25"/>
        <v>1</v>
      </c>
      <c r="Q43" s="41">
        <f>SUM(Q24:Q42)</f>
        <v>107</v>
      </c>
      <c r="R43" s="23">
        <f>SUM(R24:R42)</f>
        <v>94646619921</v>
      </c>
      <c r="S43" s="16">
        <f t="shared" si="25"/>
        <v>1</v>
      </c>
      <c r="T43" s="41">
        <f t="shared" si="25"/>
        <v>140</v>
      </c>
      <c r="U43" s="23">
        <f>SUM(U24:U42)</f>
        <v>73826747127.009995</v>
      </c>
      <c r="V43" s="7">
        <f t="shared" si="25"/>
        <v>1</v>
      </c>
      <c r="W43" s="249">
        <f>SUM(W24:W42)</f>
        <v>26</v>
      </c>
      <c r="X43" s="23">
        <f>SUM(X24:X42)</f>
        <v>34032500000</v>
      </c>
      <c r="Y43" s="7">
        <f t="shared" si="25"/>
        <v>1</v>
      </c>
      <c r="Z43" s="41">
        <f t="shared" si="25"/>
        <v>2</v>
      </c>
      <c r="AA43" s="23">
        <f>SUM(AA24:AA42)</f>
        <v>40500000</v>
      </c>
      <c r="AB43" s="13">
        <f t="shared" si="25"/>
        <v>1</v>
      </c>
      <c r="AC43" s="17">
        <f>SUM(AC24:AC42)</f>
        <v>1</v>
      </c>
      <c r="AD43" s="23">
        <f>SUM(AD24:AD42)</f>
        <v>1000000000</v>
      </c>
      <c r="AE43" s="7">
        <f>SUM(AE24:AE42)</f>
        <v>1</v>
      </c>
      <c r="AF43" s="17">
        <f t="shared" si="25"/>
        <v>2</v>
      </c>
      <c r="AG43" s="23">
        <f>SUM(AG24:AG42)</f>
        <v>52069842234</v>
      </c>
      <c r="AH43" s="13">
        <f t="shared" si="25"/>
        <v>1</v>
      </c>
      <c r="AI43" s="145">
        <f t="shared" si="25"/>
        <v>1</v>
      </c>
      <c r="AJ43" s="129">
        <f>SUM(AJ24:AJ42)</f>
        <v>336286250</v>
      </c>
      <c r="AK43" s="133">
        <f t="shared" si="25"/>
        <v>1</v>
      </c>
      <c r="AL43" s="145">
        <f t="shared" si="25"/>
        <v>1</v>
      </c>
      <c r="AM43" s="129">
        <f t="shared" si="25"/>
        <v>88056000</v>
      </c>
      <c r="AN43" s="127">
        <f t="shared" si="25"/>
        <v>1</v>
      </c>
      <c r="AO43" s="145">
        <f t="shared" ref="AO43:AQ43" si="26">SUM(AO24:AO42)</f>
        <v>1</v>
      </c>
      <c r="AP43" s="129">
        <f t="shared" si="26"/>
        <v>32782400</v>
      </c>
      <c r="AQ43" s="127">
        <f t="shared" si="26"/>
        <v>1</v>
      </c>
      <c r="AR43" s="144">
        <f>SUM(AR24:AR42)</f>
        <v>1186</v>
      </c>
      <c r="AS43" s="23">
        <f>SUM(AS24:AS42)</f>
        <v>1164195756959.8999</v>
      </c>
      <c r="AT43" s="13">
        <f t="shared" si="25"/>
        <v>1.0000000000000002</v>
      </c>
      <c r="AU43" s="110"/>
    </row>
    <row r="44" spans="1:52" x14ac:dyDescent="0.25">
      <c r="A44" s="44"/>
      <c r="B44" s="168"/>
      <c r="C44" s="168"/>
      <c r="D44" s="168"/>
      <c r="E44" s="168"/>
      <c r="F44" s="168"/>
      <c r="G44" s="168"/>
      <c r="H44" s="168"/>
      <c r="I44" s="168"/>
      <c r="J44" s="168"/>
      <c r="K44" s="44"/>
      <c r="L44" s="44"/>
      <c r="M44" s="44"/>
      <c r="N44" s="44"/>
      <c r="O44" s="44"/>
      <c r="AU44" s="6"/>
      <c r="AV44" s="6"/>
      <c r="AW44" s="6"/>
      <c r="AX44" s="5"/>
      <c r="AY44" s="5"/>
      <c r="AZ44" s="5"/>
    </row>
    <row r="45" spans="1:52" ht="16.5" customHeight="1" thickBot="1" x14ac:dyDescent="0.3">
      <c r="A45" s="267" t="s">
        <v>24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44"/>
      <c r="L45" s="44"/>
      <c r="M45" s="44"/>
      <c r="N45" s="44"/>
      <c r="O45" s="44"/>
      <c r="AU45" s="6"/>
      <c r="AV45" s="6"/>
      <c r="AW45" s="6"/>
      <c r="AX45" s="5"/>
      <c r="AY45" s="5"/>
      <c r="AZ45" s="5"/>
    </row>
    <row r="46" spans="1:52" ht="42.75" customHeight="1" thickBot="1" x14ac:dyDescent="0.3">
      <c r="A46" s="273" t="s">
        <v>10</v>
      </c>
      <c r="B46" s="276" t="s">
        <v>71</v>
      </c>
      <c r="C46" s="277"/>
      <c r="D46" s="278"/>
      <c r="E46" s="276" t="s">
        <v>9</v>
      </c>
      <c r="F46" s="277"/>
      <c r="G46" s="278"/>
      <c r="H46" s="276" t="s">
        <v>6</v>
      </c>
      <c r="I46" s="277"/>
      <c r="J46" s="278"/>
      <c r="K46" s="282" t="s">
        <v>13</v>
      </c>
      <c r="L46" s="283"/>
      <c r="M46" s="284"/>
      <c r="N46" s="270" t="s">
        <v>15</v>
      </c>
      <c r="O46" s="271"/>
      <c r="P46" s="272"/>
      <c r="Q46" s="270" t="s">
        <v>14</v>
      </c>
      <c r="R46" s="271"/>
      <c r="S46" s="272"/>
      <c r="T46" s="270" t="s">
        <v>18</v>
      </c>
      <c r="U46" s="271"/>
      <c r="V46" s="272"/>
      <c r="W46" s="282" t="s">
        <v>19</v>
      </c>
      <c r="X46" s="283"/>
      <c r="Y46" s="284"/>
      <c r="Z46" s="270" t="s">
        <v>54</v>
      </c>
      <c r="AA46" s="271"/>
      <c r="AB46" s="271"/>
      <c r="AC46" s="270" t="s">
        <v>49</v>
      </c>
      <c r="AD46" s="271"/>
      <c r="AE46" s="271"/>
      <c r="AF46" s="273" t="s">
        <v>56</v>
      </c>
      <c r="AG46" s="274"/>
      <c r="AH46" s="275"/>
      <c r="AI46" s="273" t="s">
        <v>57</v>
      </c>
      <c r="AJ46" s="274"/>
      <c r="AK46" s="275"/>
      <c r="AL46" s="270" t="s">
        <v>58</v>
      </c>
      <c r="AM46" s="271"/>
      <c r="AN46" s="272"/>
      <c r="AO46" s="270" t="s">
        <v>70</v>
      </c>
      <c r="AP46" s="271"/>
      <c r="AQ46" s="272"/>
      <c r="AR46" s="271" t="s">
        <v>7</v>
      </c>
      <c r="AS46" s="271"/>
      <c r="AT46" s="272"/>
      <c r="AX46" s="5"/>
      <c r="AY46" s="5"/>
      <c r="AZ46" s="5"/>
    </row>
    <row r="47" spans="1:52" s="6" customFormat="1" ht="57.75" thickBot="1" x14ac:dyDescent="0.3">
      <c r="A47" s="279"/>
      <c r="B47" s="177" t="s">
        <v>2</v>
      </c>
      <c r="C47" s="178" t="s">
        <v>16</v>
      </c>
      <c r="D47" s="179" t="s">
        <v>5</v>
      </c>
      <c r="E47" s="180" t="s">
        <v>2</v>
      </c>
      <c r="F47" s="181" t="s">
        <v>16</v>
      </c>
      <c r="G47" s="182" t="s">
        <v>5</v>
      </c>
      <c r="H47" s="90" t="s">
        <v>2</v>
      </c>
      <c r="I47" s="183" t="s">
        <v>16</v>
      </c>
      <c r="J47" s="184" t="s">
        <v>5</v>
      </c>
      <c r="K47" s="36" t="s">
        <v>2</v>
      </c>
      <c r="L47" s="37" t="s">
        <v>16</v>
      </c>
      <c r="M47" s="38" t="s">
        <v>5</v>
      </c>
      <c r="N47" s="36" t="s">
        <v>2</v>
      </c>
      <c r="O47" s="37" t="s">
        <v>16</v>
      </c>
      <c r="P47" s="38" t="s">
        <v>5</v>
      </c>
      <c r="Q47" s="36" t="s">
        <v>2</v>
      </c>
      <c r="R47" s="37" t="s">
        <v>16</v>
      </c>
      <c r="S47" s="38" t="s">
        <v>5</v>
      </c>
      <c r="T47" s="36" t="s">
        <v>2</v>
      </c>
      <c r="U47" s="37" t="s">
        <v>16</v>
      </c>
      <c r="V47" s="39" t="s">
        <v>5</v>
      </c>
      <c r="W47" s="36" t="s">
        <v>2</v>
      </c>
      <c r="X47" s="37" t="s">
        <v>16</v>
      </c>
      <c r="Y47" s="38" t="s">
        <v>5</v>
      </c>
      <c r="Z47" s="40" t="s">
        <v>2</v>
      </c>
      <c r="AA47" s="37" t="s">
        <v>16</v>
      </c>
      <c r="AB47" s="38" t="s">
        <v>5</v>
      </c>
      <c r="AC47" s="33" t="s">
        <v>2</v>
      </c>
      <c r="AD47" s="34" t="s">
        <v>16</v>
      </c>
      <c r="AE47" s="111" t="s">
        <v>5</v>
      </c>
      <c r="AF47" s="33" t="s">
        <v>2</v>
      </c>
      <c r="AG47" s="34" t="s">
        <v>16</v>
      </c>
      <c r="AH47" s="111" t="s">
        <v>5</v>
      </c>
      <c r="AI47" s="36" t="s">
        <v>2</v>
      </c>
      <c r="AJ47" s="37" t="s">
        <v>16</v>
      </c>
      <c r="AK47" s="38" t="s">
        <v>5</v>
      </c>
      <c r="AL47" s="134" t="s">
        <v>2</v>
      </c>
      <c r="AM47" s="135" t="s">
        <v>16</v>
      </c>
      <c r="AN47" s="136" t="s">
        <v>5</v>
      </c>
      <c r="AO47" s="134" t="s">
        <v>2</v>
      </c>
      <c r="AP47" s="135" t="s">
        <v>16</v>
      </c>
      <c r="AQ47" s="136" t="s">
        <v>5</v>
      </c>
      <c r="AR47" s="111" t="s">
        <v>2</v>
      </c>
      <c r="AS47" s="34" t="s">
        <v>16</v>
      </c>
      <c r="AT47" s="35" t="s">
        <v>5</v>
      </c>
    </row>
    <row r="48" spans="1:52" s="78" customFormat="1" x14ac:dyDescent="0.25">
      <c r="A48" s="79" t="s">
        <v>42</v>
      </c>
      <c r="B48" s="90">
        <v>126</v>
      </c>
      <c r="C48" s="91">
        <v>103520750235</v>
      </c>
      <c r="D48" s="77">
        <f>C48/C51</f>
        <v>0.47678139812767723</v>
      </c>
      <c r="E48" s="90">
        <v>152</v>
      </c>
      <c r="F48" s="73">
        <f>65494778150+400000000+100000000</f>
        <v>65994778150</v>
      </c>
      <c r="G48" s="77">
        <f>F48/F51</f>
        <v>0.82046657145934521</v>
      </c>
      <c r="H48" s="90">
        <v>80</v>
      </c>
      <c r="I48" s="73">
        <v>21925693386</v>
      </c>
      <c r="J48" s="92">
        <f>I48/I51</f>
        <v>0.71458155622995756</v>
      </c>
      <c r="K48" s="90">
        <v>207</v>
      </c>
      <c r="L48" s="91">
        <f>227877803085.89+1800000000+4100000000</f>
        <v>233777803085.89001</v>
      </c>
      <c r="M48" s="81">
        <f>L48/L51</f>
        <v>0.57995235221317243</v>
      </c>
      <c r="N48" s="93">
        <v>84</v>
      </c>
      <c r="O48" s="94">
        <f>112534711140+340000000+3000000000+2600000000</f>
        <v>118474711140</v>
      </c>
      <c r="P48" s="77">
        <f>O48/O51</f>
        <v>0.67017762688686378</v>
      </c>
      <c r="Q48" s="90">
        <v>78</v>
      </c>
      <c r="R48" s="91">
        <f>59690040139+200000000+3431908000</f>
        <v>63321948139</v>
      </c>
      <c r="S48" s="81">
        <f>R48/R51</f>
        <v>0.66903549426121933</v>
      </c>
      <c r="T48" s="87">
        <v>114</v>
      </c>
      <c r="U48" s="91">
        <f>35104831942+287640000</f>
        <v>35392471942</v>
      </c>
      <c r="V48" s="80">
        <f>U48/U51</f>
        <v>0.47939904329133615</v>
      </c>
      <c r="W48" s="90">
        <v>15</v>
      </c>
      <c r="X48" s="91">
        <f>18535500000+2000000000</f>
        <v>20535500000</v>
      </c>
      <c r="Y48" s="77">
        <f>X48/X51</f>
        <v>0.60340850657459777</v>
      </c>
      <c r="Z48" s="95">
        <v>2</v>
      </c>
      <c r="AA48" s="91">
        <v>40500000</v>
      </c>
      <c r="AB48" s="80">
        <f>AA48/AA51</f>
        <v>1</v>
      </c>
      <c r="AC48" s="96"/>
      <c r="AD48" s="73"/>
      <c r="AE48" s="102"/>
      <c r="AF48" s="146">
        <v>1</v>
      </c>
      <c r="AG48" s="147">
        <v>47182542440</v>
      </c>
      <c r="AH48" s="102">
        <f>AG48/AG51</f>
        <v>0.90613953136180725</v>
      </c>
      <c r="AI48" s="148">
        <v>1</v>
      </c>
      <c r="AJ48" s="86">
        <v>336286250</v>
      </c>
      <c r="AK48" s="80">
        <f>AJ48/AJ51</f>
        <v>1</v>
      </c>
      <c r="AL48" s="150"/>
      <c r="AM48" s="151"/>
      <c r="AN48" s="143"/>
      <c r="AO48" s="150"/>
      <c r="AP48" s="151"/>
      <c r="AQ48" s="143"/>
      <c r="AR48" s="116">
        <f>B48+E48+H48+K48+N48+Q48+T48+W48+Z48+AC48+AF48+AI48+AL48</f>
        <v>860</v>
      </c>
      <c r="AS48" s="73">
        <f>C48+F48+I48+L48+O48+R48+U48+X48+AA48+AD48+AG48+AJ48+AM48</f>
        <v>710502984767.89001</v>
      </c>
      <c r="AT48" s="77">
        <f>AS48/$AS$51</f>
        <v>0.61029511619527654</v>
      </c>
    </row>
    <row r="49" spans="1:52" s="78" customFormat="1" ht="22.5" customHeight="1" x14ac:dyDescent="0.25">
      <c r="A49" s="103" t="s">
        <v>43</v>
      </c>
      <c r="B49" s="68">
        <v>71</v>
      </c>
      <c r="C49" s="73">
        <v>113603388084</v>
      </c>
      <c r="D49" s="70">
        <f>C49/C51</f>
        <v>0.52321860187232272</v>
      </c>
      <c r="E49" s="68">
        <v>30</v>
      </c>
      <c r="F49" s="73">
        <f>12950891560+490000000+500000000+500000000</f>
        <v>14440891560</v>
      </c>
      <c r="G49" s="70">
        <f>F49/F51</f>
        <v>0.17953342854065485</v>
      </c>
      <c r="H49" s="68">
        <v>25</v>
      </c>
      <c r="I49" s="73">
        <f>8257569000+500000000</f>
        <v>8757569000</v>
      </c>
      <c r="J49" s="70">
        <f>I49/I51</f>
        <v>0.28541844377004244</v>
      </c>
      <c r="K49" s="68">
        <v>101</v>
      </c>
      <c r="L49" s="73">
        <f>164720489720+2000000000+2600000000</f>
        <v>169320489720</v>
      </c>
      <c r="M49" s="71">
        <f>L49/L51</f>
        <v>0.42004764778682763</v>
      </c>
      <c r="N49" s="93">
        <v>29</v>
      </c>
      <c r="O49" s="76">
        <f>48656348667+7000000000+2650000000</f>
        <v>58306348667</v>
      </c>
      <c r="P49" s="70">
        <f>O49/O51</f>
        <v>0.32982237311313622</v>
      </c>
      <c r="Q49" s="68">
        <v>29</v>
      </c>
      <c r="R49" s="73">
        <f>30974671782+350000000</f>
        <v>31324671782</v>
      </c>
      <c r="S49" s="71">
        <f>R49/R51</f>
        <v>0.33096450573878072</v>
      </c>
      <c r="T49" s="87">
        <v>26</v>
      </c>
      <c r="U49" s="73">
        <v>38434275185.010002</v>
      </c>
      <c r="V49" s="71">
        <f>U49/U51</f>
        <v>0.52060095670866369</v>
      </c>
      <c r="W49" s="104">
        <v>11</v>
      </c>
      <c r="X49" s="73">
        <v>13497000000</v>
      </c>
      <c r="Y49" s="70">
        <f>X49/X51</f>
        <v>0.39659149342540218</v>
      </c>
      <c r="Z49" s="72"/>
      <c r="AA49" s="73"/>
      <c r="AB49" s="71"/>
      <c r="AC49" s="101">
        <v>1</v>
      </c>
      <c r="AD49" s="73">
        <v>1000000000</v>
      </c>
      <c r="AE49" s="102">
        <f>AD49/AD51</f>
        <v>1</v>
      </c>
      <c r="AF49" s="101">
        <v>1</v>
      </c>
      <c r="AG49" s="73">
        <v>4887299794</v>
      </c>
      <c r="AH49" s="102">
        <f>AG49/AG51</f>
        <v>9.3860468638192723E-2</v>
      </c>
      <c r="AI49" s="152"/>
      <c r="AJ49" s="73"/>
      <c r="AK49" s="71"/>
      <c r="AL49" s="152">
        <v>1</v>
      </c>
      <c r="AM49" s="73">
        <v>88056000</v>
      </c>
      <c r="AN49" s="70">
        <f>AM49/AM51</f>
        <v>1</v>
      </c>
      <c r="AO49" s="152">
        <v>1</v>
      </c>
      <c r="AP49" s="73">
        <v>32782400</v>
      </c>
      <c r="AQ49" s="70">
        <f>AP49/AP51</f>
        <v>1</v>
      </c>
      <c r="AR49" s="116">
        <f>B49+E49+H49+K49+N49+Q49+T49+W49+Z49+AC49+AF49+AI49+AL49+AO49</f>
        <v>326</v>
      </c>
      <c r="AS49" s="73">
        <f>C49+F49+I49+L49+O49+R49+U49+X49+AA49+AD49+AG49+AJ49+AM49+AP49</f>
        <v>453692772192.01001</v>
      </c>
      <c r="AT49" s="77">
        <f t="shared" ref="AT49:AT51" si="27">AS49/$AS$51</f>
        <v>0.38970488380472357</v>
      </c>
    </row>
    <row r="50" spans="1:52" ht="15.75" customHeight="1" thickBot="1" x14ac:dyDescent="0.3">
      <c r="A50" s="48" t="s">
        <v>12</v>
      </c>
      <c r="B50" s="163"/>
      <c r="C50" s="185"/>
      <c r="D50" s="140"/>
      <c r="E50" s="163"/>
      <c r="F50" s="185"/>
      <c r="G50" s="140"/>
      <c r="H50" s="163"/>
      <c r="I50" s="185"/>
      <c r="J50" s="140"/>
      <c r="K50" s="32"/>
      <c r="L50" s="49"/>
      <c r="M50" s="31"/>
      <c r="N50" s="64"/>
      <c r="O50" s="24"/>
      <c r="P50" s="14">
        <f>O50/O51</f>
        <v>0</v>
      </c>
      <c r="Q50" s="32"/>
      <c r="R50" s="49"/>
      <c r="S50" s="14"/>
      <c r="T50" s="50"/>
      <c r="U50" s="49"/>
      <c r="V50" s="31"/>
      <c r="W50" s="51"/>
      <c r="X50" s="52"/>
      <c r="Y50" s="2"/>
      <c r="Z50" s="50"/>
      <c r="AA50" s="53"/>
      <c r="AB50" s="3"/>
      <c r="AC50" s="54"/>
      <c r="AD50" s="55"/>
      <c r="AE50" s="115"/>
      <c r="AF50" s="118"/>
      <c r="AG50" s="119"/>
      <c r="AH50" s="128"/>
      <c r="AI50" s="125"/>
      <c r="AJ50" s="126"/>
      <c r="AK50" s="84"/>
      <c r="AL50" s="117"/>
      <c r="AM50" s="113"/>
      <c r="AN50" s="70"/>
      <c r="AO50" s="117"/>
      <c r="AP50" s="113"/>
      <c r="AQ50" s="70"/>
      <c r="AR50" s="29"/>
      <c r="AS50" s="73"/>
      <c r="AT50" s="251">
        <f t="shared" si="27"/>
        <v>0</v>
      </c>
      <c r="AX50" s="5"/>
      <c r="AY50" s="5"/>
      <c r="AZ50" s="5"/>
    </row>
    <row r="51" spans="1:52" s="18" customFormat="1" ht="24.75" customHeight="1" thickBot="1" x14ac:dyDescent="0.3">
      <c r="A51" s="15" t="s">
        <v>3</v>
      </c>
      <c r="B51" s="175">
        <f t="shared" ref="B51:K51" si="28">SUM(B48:B50)</f>
        <v>197</v>
      </c>
      <c r="C51" s="121">
        <f t="shared" si="28"/>
        <v>217124138319</v>
      </c>
      <c r="D51" s="169">
        <f t="shared" si="28"/>
        <v>1</v>
      </c>
      <c r="E51" s="175">
        <f t="shared" si="28"/>
        <v>182</v>
      </c>
      <c r="F51" s="121">
        <f t="shared" si="28"/>
        <v>80435669710</v>
      </c>
      <c r="G51" s="169">
        <f t="shared" si="28"/>
        <v>1</v>
      </c>
      <c r="H51" s="175">
        <f t="shared" si="28"/>
        <v>105</v>
      </c>
      <c r="I51" s="121">
        <f t="shared" si="28"/>
        <v>30683262386</v>
      </c>
      <c r="J51" s="171">
        <f t="shared" si="28"/>
        <v>1</v>
      </c>
      <c r="K51" s="43">
        <f t="shared" si="28"/>
        <v>308</v>
      </c>
      <c r="L51" s="25">
        <f>SUM(L48:L49)</f>
        <v>403098292805.89001</v>
      </c>
      <c r="M51" s="13">
        <f t="shared" ref="M51:V51" si="29">SUM(M48:M50)</f>
        <v>1</v>
      </c>
      <c r="N51" s="15">
        <f t="shared" si="29"/>
        <v>113</v>
      </c>
      <c r="O51" s="28">
        <f t="shared" si="29"/>
        <v>176781059807</v>
      </c>
      <c r="P51" s="13">
        <f t="shared" si="29"/>
        <v>1</v>
      </c>
      <c r="Q51" s="43">
        <f t="shared" si="29"/>
        <v>107</v>
      </c>
      <c r="R51" s="23">
        <f t="shared" si="29"/>
        <v>94646619921</v>
      </c>
      <c r="S51" s="7">
        <f t="shared" si="29"/>
        <v>1</v>
      </c>
      <c r="T51" s="43">
        <f t="shared" si="29"/>
        <v>140</v>
      </c>
      <c r="U51" s="23">
        <f t="shared" si="29"/>
        <v>73826747127.01001</v>
      </c>
      <c r="V51" s="13">
        <f t="shared" si="29"/>
        <v>0.99999999999999978</v>
      </c>
      <c r="W51" s="41">
        <f t="shared" ref="W51:AB51" si="30">SUM(W48:W50)</f>
        <v>26</v>
      </c>
      <c r="X51" s="23">
        <f t="shared" si="30"/>
        <v>34032500000</v>
      </c>
      <c r="Y51" s="7">
        <f t="shared" si="30"/>
        <v>1</v>
      </c>
      <c r="Z51" s="42">
        <f t="shared" si="30"/>
        <v>2</v>
      </c>
      <c r="AA51" s="23">
        <f>SUM(AA48:AA50)</f>
        <v>40500000</v>
      </c>
      <c r="AB51" s="13">
        <f t="shared" si="30"/>
        <v>1</v>
      </c>
      <c r="AC51" s="17">
        <f>SUM(AC48:AC50)</f>
        <v>1</v>
      </c>
      <c r="AD51" s="23">
        <f t="shared" ref="AD51:AR51" si="31">SUM(AD48:AD50)</f>
        <v>1000000000</v>
      </c>
      <c r="AE51" s="13">
        <f t="shared" si="31"/>
        <v>1</v>
      </c>
      <c r="AF51" s="120">
        <f t="shared" si="31"/>
        <v>2</v>
      </c>
      <c r="AG51" s="121">
        <f t="shared" si="31"/>
        <v>52069842234</v>
      </c>
      <c r="AH51" s="123">
        <f t="shared" si="31"/>
        <v>1</v>
      </c>
      <c r="AI51" s="130">
        <f>SUM(AI48:AI50)</f>
        <v>1</v>
      </c>
      <c r="AJ51" s="129">
        <f>SUM(AJ48:AJ49)</f>
        <v>336286250</v>
      </c>
      <c r="AK51" s="149">
        <v>1</v>
      </c>
      <c r="AL51" s="130">
        <f t="shared" si="31"/>
        <v>1</v>
      </c>
      <c r="AM51" s="129">
        <f t="shared" si="31"/>
        <v>88056000</v>
      </c>
      <c r="AN51" s="122">
        <f t="shared" si="31"/>
        <v>1</v>
      </c>
      <c r="AO51" s="130">
        <f t="shared" ref="AO51:AQ51" si="32">SUM(AO48:AO50)</f>
        <v>1</v>
      </c>
      <c r="AP51" s="129">
        <f t="shared" si="32"/>
        <v>32782400</v>
      </c>
      <c r="AQ51" s="122">
        <f t="shared" si="32"/>
        <v>1</v>
      </c>
      <c r="AR51" s="42">
        <f t="shared" si="31"/>
        <v>1186</v>
      </c>
      <c r="AS51" s="250">
        <f>SUM(AS48:AS50)</f>
        <v>1164195756959.8999</v>
      </c>
      <c r="AT51" s="171">
        <f t="shared" si="27"/>
        <v>1</v>
      </c>
    </row>
    <row r="52" spans="1:52" ht="15.75" customHeight="1" x14ac:dyDescent="0.25"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107"/>
      <c r="AV52" s="6"/>
      <c r="AW52" s="66"/>
      <c r="AX52" s="5"/>
      <c r="AY52" s="5"/>
      <c r="AZ52" s="5"/>
    </row>
    <row r="53" spans="1:52" ht="16.5" customHeight="1" thickBot="1" x14ac:dyDescent="0.3">
      <c r="A53" s="267" t="s">
        <v>25</v>
      </c>
      <c r="B53" s="267"/>
      <c r="C53" s="267"/>
      <c r="D53" s="267"/>
      <c r="E53" s="267"/>
      <c r="F53" s="267"/>
      <c r="G53" s="267"/>
      <c r="H53" s="267"/>
      <c r="I53" s="267"/>
      <c r="J53" s="267"/>
      <c r="K53" s="44"/>
      <c r="L53" s="44"/>
      <c r="M53" s="44"/>
      <c r="T53" s="44"/>
      <c r="U53" s="46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107"/>
      <c r="AV53" s="6"/>
      <c r="AW53" s="6"/>
      <c r="AX53" s="5"/>
      <c r="AY53" s="5"/>
      <c r="AZ53" s="5"/>
    </row>
    <row r="54" spans="1:52" ht="54" customHeight="1" thickBot="1" x14ac:dyDescent="0.3">
      <c r="A54" s="280" t="s">
        <v>11</v>
      </c>
      <c r="B54" s="276" t="s">
        <v>71</v>
      </c>
      <c r="C54" s="277"/>
      <c r="D54" s="278"/>
      <c r="E54" s="276" t="s">
        <v>9</v>
      </c>
      <c r="F54" s="277"/>
      <c r="G54" s="278"/>
      <c r="H54" s="276" t="s">
        <v>6</v>
      </c>
      <c r="I54" s="277"/>
      <c r="J54" s="278"/>
      <c r="K54" s="282" t="s">
        <v>13</v>
      </c>
      <c r="L54" s="283"/>
      <c r="M54" s="284"/>
      <c r="N54" s="270" t="s">
        <v>15</v>
      </c>
      <c r="O54" s="271"/>
      <c r="P54" s="271"/>
      <c r="Q54" s="270" t="s">
        <v>14</v>
      </c>
      <c r="R54" s="271"/>
      <c r="S54" s="271"/>
      <c r="T54" s="270" t="s">
        <v>18</v>
      </c>
      <c r="U54" s="271"/>
      <c r="V54" s="271"/>
      <c r="W54" s="282" t="s">
        <v>19</v>
      </c>
      <c r="X54" s="283"/>
      <c r="Y54" s="284"/>
      <c r="Z54" s="270" t="s">
        <v>54</v>
      </c>
      <c r="AA54" s="271"/>
      <c r="AB54" s="272"/>
      <c r="AC54" s="270" t="s">
        <v>49</v>
      </c>
      <c r="AD54" s="271"/>
      <c r="AE54" s="271"/>
      <c r="AF54" s="273" t="s">
        <v>56</v>
      </c>
      <c r="AG54" s="274"/>
      <c r="AH54" s="275"/>
      <c r="AI54" s="273" t="s">
        <v>57</v>
      </c>
      <c r="AJ54" s="274"/>
      <c r="AK54" s="274"/>
      <c r="AL54" s="270" t="s">
        <v>58</v>
      </c>
      <c r="AM54" s="271"/>
      <c r="AN54" s="272"/>
      <c r="AO54" s="273" t="s">
        <v>70</v>
      </c>
      <c r="AP54" s="274"/>
      <c r="AQ54" s="275"/>
      <c r="AR54" s="271" t="s">
        <v>7</v>
      </c>
      <c r="AS54" s="271"/>
      <c r="AT54" s="272"/>
      <c r="AU54" s="61"/>
      <c r="AX54" s="5"/>
      <c r="AY54" s="5"/>
      <c r="AZ54" s="5"/>
    </row>
    <row r="55" spans="1:52" ht="57.75" thickBot="1" x14ac:dyDescent="0.3">
      <c r="A55" s="281"/>
      <c r="B55" s="186" t="s">
        <v>2</v>
      </c>
      <c r="C55" s="187" t="s">
        <v>16</v>
      </c>
      <c r="D55" s="188" t="s">
        <v>5</v>
      </c>
      <c r="E55" s="186" t="s">
        <v>2</v>
      </c>
      <c r="F55" s="187" t="s">
        <v>16</v>
      </c>
      <c r="G55" s="188" t="s">
        <v>5</v>
      </c>
      <c r="H55" s="186" t="s">
        <v>2</v>
      </c>
      <c r="I55" s="187" t="s">
        <v>16</v>
      </c>
      <c r="J55" s="188" t="s">
        <v>5</v>
      </c>
      <c r="K55" s="56" t="s">
        <v>2</v>
      </c>
      <c r="L55" s="57" t="s">
        <v>16</v>
      </c>
      <c r="M55" s="58" t="s">
        <v>5</v>
      </c>
      <c r="N55" s="56" t="s">
        <v>2</v>
      </c>
      <c r="O55" s="57" t="s">
        <v>16</v>
      </c>
      <c r="P55" s="58" t="s">
        <v>5</v>
      </c>
      <c r="Q55" s="56" t="s">
        <v>2</v>
      </c>
      <c r="R55" s="57" t="s">
        <v>16</v>
      </c>
      <c r="S55" s="58" t="s">
        <v>5</v>
      </c>
      <c r="T55" s="56" t="s">
        <v>2</v>
      </c>
      <c r="U55" s="57" t="s">
        <v>16</v>
      </c>
      <c r="V55" s="59" t="s">
        <v>5</v>
      </c>
      <c r="W55" s="56" t="s">
        <v>2</v>
      </c>
      <c r="X55" s="57" t="s">
        <v>16</v>
      </c>
      <c r="Y55" s="58" t="s">
        <v>5</v>
      </c>
      <c r="Z55" s="9" t="s">
        <v>2</v>
      </c>
      <c r="AA55" s="11" t="s">
        <v>16</v>
      </c>
      <c r="AB55" s="10" t="s">
        <v>5</v>
      </c>
      <c r="AC55" s="11" t="s">
        <v>2</v>
      </c>
      <c r="AD55" s="11" t="s">
        <v>16</v>
      </c>
      <c r="AE55" s="12" t="s">
        <v>5</v>
      </c>
      <c r="AF55" s="33" t="s">
        <v>2</v>
      </c>
      <c r="AG55" s="34" t="s">
        <v>16</v>
      </c>
      <c r="AH55" s="35" t="s">
        <v>5</v>
      </c>
      <c r="AI55" s="36" t="s">
        <v>2</v>
      </c>
      <c r="AJ55" s="37" t="s">
        <v>16</v>
      </c>
      <c r="AK55" s="39" t="s">
        <v>5</v>
      </c>
      <c r="AL55" s="34" t="s">
        <v>2</v>
      </c>
      <c r="AM55" s="111" t="s">
        <v>16</v>
      </c>
      <c r="AN55" s="34" t="s">
        <v>5</v>
      </c>
      <c r="AO55" s="36" t="s">
        <v>2</v>
      </c>
      <c r="AP55" s="37" t="s">
        <v>16</v>
      </c>
      <c r="AQ55" s="38" t="s">
        <v>5</v>
      </c>
      <c r="AR55" s="34" t="s">
        <v>2</v>
      </c>
      <c r="AS55" s="34" t="s">
        <v>16</v>
      </c>
      <c r="AT55" s="35" t="s">
        <v>5</v>
      </c>
      <c r="AU55" s="61"/>
      <c r="AW55" s="45"/>
      <c r="AX55" s="5"/>
      <c r="AY55" s="5"/>
      <c r="AZ55" s="5"/>
    </row>
    <row r="56" spans="1:52" s="78" customFormat="1" x14ac:dyDescent="0.25">
      <c r="A56" s="155" t="s">
        <v>44</v>
      </c>
      <c r="B56" s="90">
        <v>32</v>
      </c>
      <c r="C56" s="91">
        <v>80755894000</v>
      </c>
      <c r="D56" s="77">
        <f>C56/C60</f>
        <v>0.37193420605014899</v>
      </c>
      <c r="E56" s="90">
        <v>17</v>
      </c>
      <c r="F56" s="91">
        <v>30068806000</v>
      </c>
      <c r="G56" s="77">
        <f>F56/F60</f>
        <v>0.37382427607563956</v>
      </c>
      <c r="H56" s="90">
        <v>7</v>
      </c>
      <c r="I56" s="91">
        <f>7790000000+500000000</f>
        <v>8290000000</v>
      </c>
      <c r="J56" s="77">
        <f>I56/I60</f>
        <v>0.27017987512900576</v>
      </c>
      <c r="K56" s="90">
        <v>50</v>
      </c>
      <c r="L56" s="91">
        <f>142081491021.89+3800000000</f>
        <v>145881491021.89001</v>
      </c>
      <c r="M56" s="77">
        <f>L56/L60</f>
        <v>0.36190054293318114</v>
      </c>
      <c r="N56" s="90">
        <v>26</v>
      </c>
      <c r="O56" s="91">
        <f>60852348667+7000000000+550000000+3000000000</f>
        <v>71402348667</v>
      </c>
      <c r="P56" s="77">
        <f>O56/O60</f>
        <v>0.40390270736555839</v>
      </c>
      <c r="Q56" s="90">
        <v>10</v>
      </c>
      <c r="R56" s="91">
        <v>25406598000</v>
      </c>
      <c r="S56" s="77">
        <f>R56/R60</f>
        <v>0.26843640080550657</v>
      </c>
      <c r="T56" s="90">
        <v>7</v>
      </c>
      <c r="U56" s="91">
        <v>30737000000</v>
      </c>
      <c r="V56" s="80">
        <f>U56/U60</f>
        <v>0.41633962210363551</v>
      </c>
      <c r="W56" s="156">
        <v>8</v>
      </c>
      <c r="X56" s="91">
        <v>21510000000</v>
      </c>
      <c r="Y56" s="77">
        <f>X56/X60</f>
        <v>0.63204290016895615</v>
      </c>
      <c r="Z56" s="90"/>
      <c r="AA56" s="91"/>
      <c r="AB56" s="77">
        <f>AA56/$AA$60</f>
        <v>0</v>
      </c>
      <c r="AC56" s="96">
        <v>1</v>
      </c>
      <c r="AD56" s="73">
        <v>1000000000</v>
      </c>
      <c r="AE56" s="102">
        <f>AD56/$AD$60</f>
        <v>1</v>
      </c>
      <c r="AF56" s="96">
        <v>1</v>
      </c>
      <c r="AG56" s="91">
        <v>4887299794</v>
      </c>
      <c r="AH56" s="237">
        <f>AG56/$AG$60</f>
        <v>9.3860468638192723E-2</v>
      </c>
      <c r="AI56" s="241">
        <v>1</v>
      </c>
      <c r="AJ56" s="154">
        <v>336286250</v>
      </c>
      <c r="AK56" s="237">
        <f>AJ56/$AJ$60</f>
        <v>1</v>
      </c>
      <c r="AL56" s="242">
        <v>1</v>
      </c>
      <c r="AM56" s="91">
        <v>88056000</v>
      </c>
      <c r="AN56" s="237">
        <f>AM56/$AM$60</f>
        <v>1</v>
      </c>
      <c r="AO56" s="153">
        <v>1</v>
      </c>
      <c r="AP56" s="91">
        <v>32782400</v>
      </c>
      <c r="AQ56" s="80">
        <f>AP56/$AP$60</f>
        <v>1</v>
      </c>
      <c r="AR56" s="256">
        <f>B56+E56+H56+K56+N56+Q56+T56+W56+Z56+AC56+AF56+AI56+AL56+AO56</f>
        <v>162</v>
      </c>
      <c r="AS56" s="147">
        <f>C56+F56+I56+L56+O56+R56+U56+X56+AA56+AG539+AD56+AG56+AJ56+AM56+AP56</f>
        <v>420396562132.89001</v>
      </c>
      <c r="AT56" s="143">
        <f>AS56/AS60</f>
        <v>0.36110470221149443</v>
      </c>
      <c r="AU56" s="157"/>
    </row>
    <row r="57" spans="1:52" s="78" customFormat="1" x14ac:dyDescent="0.25">
      <c r="A57" s="97" t="s">
        <v>62</v>
      </c>
      <c r="B57" s="68">
        <v>45</v>
      </c>
      <c r="C57" s="73">
        <v>20208310000</v>
      </c>
      <c r="D57" s="70">
        <f>C57/C60</f>
        <v>9.3072608860788372E-2</v>
      </c>
      <c r="E57" s="68">
        <v>75</v>
      </c>
      <c r="F57" s="73">
        <v>21015558600</v>
      </c>
      <c r="G57" s="70">
        <f>F57/F60</f>
        <v>0.26127163080470112</v>
      </c>
      <c r="H57" s="68">
        <v>45</v>
      </c>
      <c r="I57" s="73">
        <v>9559128600</v>
      </c>
      <c r="J57" s="70">
        <f>I57/I60</f>
        <v>0.3115421196007368</v>
      </c>
      <c r="K57" s="68">
        <v>103</v>
      </c>
      <c r="L57" s="73">
        <v>94785031667</v>
      </c>
      <c r="M57" s="70">
        <f>L57/L60</f>
        <v>0.23514123815117038</v>
      </c>
      <c r="N57" s="68">
        <v>28</v>
      </c>
      <c r="O57" s="73">
        <f>30106194641+100000000+2100000000</f>
        <v>32306194641</v>
      </c>
      <c r="P57" s="70">
        <f>O57/O60</f>
        <v>0.18274692252818348</v>
      </c>
      <c r="Q57" s="68">
        <v>56</v>
      </c>
      <c r="R57" s="73">
        <f>26841945782+100000000</f>
        <v>26941945782</v>
      </c>
      <c r="S57" s="70">
        <f>R57/R60</f>
        <v>0.28465829846314644</v>
      </c>
      <c r="T57" s="98">
        <v>73</v>
      </c>
      <c r="U57" s="73">
        <v>14923365402</v>
      </c>
      <c r="V57" s="71">
        <f>U57/U60</f>
        <v>0.20214036216882417</v>
      </c>
      <c r="W57" s="99">
        <v>8</v>
      </c>
      <c r="X57" s="73">
        <f>4855000000+2000000000</f>
        <v>6855000000</v>
      </c>
      <c r="Y57" s="70">
        <f>X57/X60</f>
        <v>0.20142510835231028</v>
      </c>
      <c r="Z57" s="100">
        <v>1</v>
      </c>
      <c r="AA57" s="91">
        <v>25000000</v>
      </c>
      <c r="AB57" s="77">
        <f t="shared" ref="AB57:AB59" si="33">AA57/$AA$60</f>
        <v>0.61728395061728392</v>
      </c>
      <c r="AC57" s="101"/>
      <c r="AD57" s="73"/>
      <c r="AE57" s="102">
        <f t="shared" ref="AE57:AE59" si="34">AD57/$AD$60</f>
        <v>0</v>
      </c>
      <c r="AF57" s="101"/>
      <c r="AG57" s="73"/>
      <c r="AH57" s="113">
        <f t="shared" ref="AH57:AH59" si="35">AG57/$AG$60</f>
        <v>0</v>
      </c>
      <c r="AI57" s="239"/>
      <c r="AJ57" s="113"/>
      <c r="AK57" s="113">
        <f t="shared" ref="AK57:AK59" si="36">AJ57/$AJ$60</f>
        <v>0</v>
      </c>
      <c r="AL57" s="235"/>
      <c r="AM57" s="91"/>
      <c r="AN57" s="113">
        <f t="shared" ref="AN57:AN59" si="37">AM57/$AM$60</f>
        <v>0</v>
      </c>
      <c r="AO57" s="153"/>
      <c r="AP57" s="91"/>
      <c r="AQ57" s="71">
        <f t="shared" ref="AQ57:AQ59" si="38">AP57/$AP$60</f>
        <v>0</v>
      </c>
      <c r="AR57" s="98">
        <f>B57+E57+H57+K57+N57+Q57+T57+W57+Z57+AC57+AF57+AI57+AL57</f>
        <v>434</v>
      </c>
      <c r="AS57" s="91">
        <f>C57+F57+I57+L57+O57+R57+U57+X57+AA57+AG540+AD57+AG57+AJ57+AM57+AP57</f>
        <v>226619534692</v>
      </c>
      <c r="AT57" s="70">
        <f>AS57/AS60</f>
        <v>0.1946575851502659</v>
      </c>
    </row>
    <row r="58" spans="1:52" s="78" customFormat="1" ht="18.75" customHeight="1" x14ac:dyDescent="0.25">
      <c r="A58" s="97" t="s">
        <v>63</v>
      </c>
      <c r="B58" s="68">
        <v>53</v>
      </c>
      <c r="C58" s="73">
        <v>47011931000</v>
      </c>
      <c r="D58" s="70">
        <f>C58/C60</f>
        <v>0.21652097903057563</v>
      </c>
      <c r="E58" s="68">
        <v>55</v>
      </c>
      <c r="F58" s="73">
        <f>5996188550+100000000</f>
        <v>6096188550</v>
      </c>
      <c r="G58" s="70">
        <f>F58/F60</f>
        <v>7.5789616372673826E-2</v>
      </c>
      <c r="H58" s="68">
        <v>40</v>
      </c>
      <c r="I58" s="73">
        <v>4322133786</v>
      </c>
      <c r="J58" s="70">
        <f>I58/I60</f>
        <v>0.14086291514985971</v>
      </c>
      <c r="K58" s="68">
        <v>65</v>
      </c>
      <c r="L58" s="73">
        <v>89911668597</v>
      </c>
      <c r="M58" s="70">
        <f>L58/L60</f>
        <v>0.22305147454518373</v>
      </c>
      <c r="N58" s="68">
        <v>34</v>
      </c>
      <c r="O58" s="73">
        <v>42350115000</v>
      </c>
      <c r="P58" s="70">
        <f>O58/O60</f>
        <v>0.23956251334976475</v>
      </c>
      <c r="Q58" s="68">
        <v>16</v>
      </c>
      <c r="R58" s="73">
        <f>10324770000+250000000</f>
        <v>10574770000</v>
      </c>
      <c r="S58" s="70">
        <f>R58/R60</f>
        <v>0.11172897678571711</v>
      </c>
      <c r="T58" s="98">
        <v>39</v>
      </c>
      <c r="U58" s="73">
        <v>13778757100</v>
      </c>
      <c r="V58" s="71">
        <f>U58/U60</f>
        <v>0.18663638364420029</v>
      </c>
      <c r="W58" s="99">
        <v>5</v>
      </c>
      <c r="X58" s="73">
        <v>1290000000</v>
      </c>
      <c r="Y58" s="70">
        <f>X58/X60</f>
        <v>3.7904943803717034E-2</v>
      </c>
      <c r="Z58" s="100">
        <v>1</v>
      </c>
      <c r="AA58" s="91">
        <v>15500000</v>
      </c>
      <c r="AB58" s="77">
        <f t="shared" si="33"/>
        <v>0.38271604938271603</v>
      </c>
      <c r="AC58" s="101"/>
      <c r="AD58" s="73"/>
      <c r="AE58" s="102">
        <f t="shared" si="34"/>
        <v>0</v>
      </c>
      <c r="AF58" s="101">
        <v>1</v>
      </c>
      <c r="AG58" s="73">
        <v>47182542440</v>
      </c>
      <c r="AH58" s="113">
        <f t="shared" si="35"/>
        <v>0.90613953136180725</v>
      </c>
      <c r="AI58" s="239"/>
      <c r="AJ58" s="113"/>
      <c r="AK58" s="113">
        <f t="shared" si="36"/>
        <v>0</v>
      </c>
      <c r="AL58" s="235"/>
      <c r="AM58" s="91"/>
      <c r="AN58" s="113">
        <f t="shared" si="37"/>
        <v>0</v>
      </c>
      <c r="AO58" s="153"/>
      <c r="AP58" s="91"/>
      <c r="AQ58" s="71">
        <f t="shared" si="38"/>
        <v>0</v>
      </c>
      <c r="AR58" s="98">
        <f>B58+E58+H58+K58+N58+Q58+T58+W58+Z58+AC58+AF58+AI58+AL58</f>
        <v>309</v>
      </c>
      <c r="AS58" s="91">
        <f>C58+F58+I58+L58+O58+R58+U58+X58+AA58+AG541+AD58+AG58+AJ58+AM58+AP58</f>
        <v>262533606473</v>
      </c>
      <c r="AT58" s="70">
        <f>AS58/AS60</f>
        <v>0.22550641067320332</v>
      </c>
      <c r="AU58" s="157"/>
    </row>
    <row r="59" spans="1:52" s="78" customFormat="1" ht="18" customHeight="1" thickBot="1" x14ac:dyDescent="0.3">
      <c r="A59" s="97" t="s">
        <v>64</v>
      </c>
      <c r="B59" s="87">
        <v>67</v>
      </c>
      <c r="C59" s="73">
        <v>69148003319</v>
      </c>
      <c r="D59" s="88">
        <f>C59/C60</f>
        <v>0.31847220605848697</v>
      </c>
      <c r="E59" s="87">
        <v>35</v>
      </c>
      <c r="F59" s="73">
        <f>22255116560+500000000+500000000</f>
        <v>23255116560</v>
      </c>
      <c r="G59" s="88">
        <f>F59/F60</f>
        <v>0.28911447674698548</v>
      </c>
      <c r="H59" s="87">
        <v>13</v>
      </c>
      <c r="I59" s="73">
        <v>8512000000</v>
      </c>
      <c r="J59" s="88">
        <f>I59/I60</f>
        <v>0.27741509012039772</v>
      </c>
      <c r="K59" s="87">
        <v>90</v>
      </c>
      <c r="L59" s="73">
        <f>65820101520+1800000000+2300000000+2600000000</f>
        <v>72520101520</v>
      </c>
      <c r="M59" s="88">
        <f>L59/L60</f>
        <v>0.17990674437046475</v>
      </c>
      <c r="N59" s="87">
        <v>25</v>
      </c>
      <c r="O59" s="73">
        <f>27782401499+340000000+2600000000</f>
        <v>30722401499</v>
      </c>
      <c r="P59" s="88">
        <f>O59/O60</f>
        <v>0.17378785675649336</v>
      </c>
      <c r="Q59" s="87">
        <v>25</v>
      </c>
      <c r="R59" s="73">
        <f>28291398139+3431908000</f>
        <v>31723306139</v>
      </c>
      <c r="S59" s="88">
        <f>R59/R60</f>
        <v>0.33517632394562985</v>
      </c>
      <c r="T59" s="105">
        <v>21</v>
      </c>
      <c r="U59" s="73">
        <f>14099984625.01+287640000</f>
        <v>14387624625.01</v>
      </c>
      <c r="V59" s="84">
        <f>U59/U60</f>
        <v>0.19488363208334009</v>
      </c>
      <c r="W59" s="106">
        <v>5</v>
      </c>
      <c r="X59" s="73">
        <v>4377500000</v>
      </c>
      <c r="Y59" s="88">
        <f>X59/X60</f>
        <v>0.12862704767501654</v>
      </c>
      <c r="Z59" s="100"/>
      <c r="AA59" s="91"/>
      <c r="AB59" s="77">
        <f t="shared" si="33"/>
        <v>0</v>
      </c>
      <c r="AC59" s="101"/>
      <c r="AD59" s="73"/>
      <c r="AE59" s="102">
        <f t="shared" si="34"/>
        <v>0</v>
      </c>
      <c r="AF59" s="118"/>
      <c r="AG59" s="86"/>
      <c r="AH59" s="126">
        <f t="shared" si="35"/>
        <v>0</v>
      </c>
      <c r="AI59" s="240"/>
      <c r="AJ59" s="126"/>
      <c r="AK59" s="126">
        <f t="shared" si="36"/>
        <v>0</v>
      </c>
      <c r="AL59" s="245"/>
      <c r="AM59" s="154"/>
      <c r="AN59" s="126">
        <f t="shared" si="37"/>
        <v>0</v>
      </c>
      <c r="AO59" s="238"/>
      <c r="AP59" s="154"/>
      <c r="AQ59" s="84">
        <f t="shared" si="38"/>
        <v>0</v>
      </c>
      <c r="AR59" s="257">
        <f>B59+E59+H59+K59+N59+Q59+T59+W59+Z59+AC59+AF59+AI59+AL59</f>
        <v>281</v>
      </c>
      <c r="AS59" s="258">
        <f>C59+F59+I59+L59+O59+R59+U59+X59+AA59+AG542+AD59+AG59+AJ59+AM59+AP59</f>
        <v>254646053662.01001</v>
      </c>
      <c r="AT59" s="140">
        <f>AS59/AS60</f>
        <v>0.2187313019650364</v>
      </c>
    </row>
    <row r="60" spans="1:52" s="18" customFormat="1" ht="21.75" customHeight="1" thickBot="1" x14ac:dyDescent="0.3">
      <c r="A60" s="15" t="s">
        <v>3</v>
      </c>
      <c r="B60" s="170">
        <f>SUM(B56:B59)</f>
        <v>197</v>
      </c>
      <c r="C60" s="121">
        <f t="shared" ref="C60:O60" si="39">SUM(C56:C59)</f>
        <v>217124138319</v>
      </c>
      <c r="D60" s="176">
        <f>SUM(D56:D59)</f>
        <v>1</v>
      </c>
      <c r="E60" s="170">
        <f>SUM(E56:E59)</f>
        <v>182</v>
      </c>
      <c r="F60" s="121">
        <f>SUM(F56:F59)</f>
        <v>80435669710</v>
      </c>
      <c r="G60" s="189">
        <f>SUM(G56:G59)</f>
        <v>1</v>
      </c>
      <c r="H60" s="170">
        <f t="shared" si="39"/>
        <v>105</v>
      </c>
      <c r="I60" s="121">
        <f t="shared" si="39"/>
        <v>30683262386</v>
      </c>
      <c r="J60" s="171">
        <f t="shared" si="39"/>
        <v>1</v>
      </c>
      <c r="K60" s="41">
        <f t="shared" si="39"/>
        <v>308</v>
      </c>
      <c r="L60" s="25">
        <f>SUM(L56:L59)</f>
        <v>403098292805.89001</v>
      </c>
      <c r="M60" s="7">
        <f t="shared" si="39"/>
        <v>1</v>
      </c>
      <c r="N60" s="41">
        <f t="shared" si="39"/>
        <v>113</v>
      </c>
      <c r="O60" s="23">
        <f t="shared" si="39"/>
        <v>176781059807</v>
      </c>
      <c r="P60" s="7">
        <f>SUM(P56:P59)</f>
        <v>0.99999999999999989</v>
      </c>
      <c r="Q60" s="41">
        <f>SUM(Q56:Q59)</f>
        <v>107</v>
      </c>
      <c r="R60" s="23">
        <f>SUM(R56:R59)</f>
        <v>94646619921</v>
      </c>
      <c r="S60" s="7">
        <f>SUM(S56:S59)</f>
        <v>1</v>
      </c>
      <c r="T60" s="41">
        <f t="shared" ref="T60:Y60" si="40">SUM(T56:T59)</f>
        <v>140</v>
      </c>
      <c r="U60" s="23">
        <f t="shared" si="40"/>
        <v>73826747127.009995</v>
      </c>
      <c r="V60" s="13">
        <f t="shared" si="40"/>
        <v>1</v>
      </c>
      <c r="W60" s="20">
        <f t="shared" si="40"/>
        <v>26</v>
      </c>
      <c r="X60" s="23">
        <f>SUM(X56:X59)</f>
        <v>34032500000</v>
      </c>
      <c r="Y60" s="7">
        <f t="shared" si="40"/>
        <v>1</v>
      </c>
      <c r="Z60" s="43">
        <f>SUM(Z56:Z59)</f>
        <v>2</v>
      </c>
      <c r="AA60" s="23">
        <f>SUM(AA56:AA59)</f>
        <v>40500000</v>
      </c>
      <c r="AB60" s="7">
        <f>SUM(AB56:AB59)</f>
        <v>1</v>
      </c>
      <c r="AC60" s="19">
        <f t="shared" ref="AC60:AT60" si="41">SUM(AC56:AC59)</f>
        <v>1</v>
      </c>
      <c r="AD60" s="23">
        <f t="shared" si="41"/>
        <v>1000000000</v>
      </c>
      <c r="AE60" s="13">
        <f t="shared" si="41"/>
        <v>1</v>
      </c>
      <c r="AF60" s="15">
        <f t="shared" ref="AF60:AK60" si="42">SUM(AF56:AF59)</f>
        <v>2</v>
      </c>
      <c r="AG60" s="23">
        <f t="shared" si="42"/>
        <v>52069842234</v>
      </c>
      <c r="AH60" s="124">
        <f t="shared" si="42"/>
        <v>1</v>
      </c>
      <c r="AI60" s="130">
        <f t="shared" si="42"/>
        <v>1</v>
      </c>
      <c r="AJ60" s="129">
        <f t="shared" si="42"/>
        <v>336286250</v>
      </c>
      <c r="AK60" s="133">
        <f t="shared" si="42"/>
        <v>1</v>
      </c>
      <c r="AL60" s="130">
        <f t="shared" si="41"/>
        <v>1</v>
      </c>
      <c r="AM60" s="246">
        <f t="shared" si="41"/>
        <v>88056000</v>
      </c>
      <c r="AN60" s="7">
        <f t="shared" si="41"/>
        <v>1</v>
      </c>
      <c r="AO60" s="244">
        <f t="shared" ref="AO60:AQ60" si="43">SUM(AO56:AO59)</f>
        <v>1</v>
      </c>
      <c r="AP60" s="243">
        <f t="shared" si="43"/>
        <v>32782400</v>
      </c>
      <c r="AQ60" s="7">
        <f t="shared" si="43"/>
        <v>1</v>
      </c>
      <c r="AR60" s="236">
        <f>SUM(AR56:AR59)</f>
        <v>1186</v>
      </c>
      <c r="AS60" s="23">
        <f>SUM(AS56:AS59)</f>
        <v>1164195756959.8999</v>
      </c>
      <c r="AT60" s="7">
        <f t="shared" si="41"/>
        <v>1</v>
      </c>
    </row>
    <row r="61" spans="1:52" x14ac:dyDescent="0.25">
      <c r="AX61" s="18"/>
      <c r="AY61" s="18"/>
      <c r="AZ61" s="18"/>
    </row>
    <row r="65" spans="7:49" x14ac:dyDescent="0.25">
      <c r="G65" s="19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</row>
  </sheetData>
  <sheetProtection algorithmName="SHA-512" hashValue="9yA03DMRsrl5ajP709eGJEPlKvD0Fdl6CwZkaAvNZo0PlsDnV60t9h1o0ZfxUo0g/eliSONxyU6SzXjumUgkKw==" saltValue="g7DH0tq0TT91msgY5OWPjg==" spinCount="100000" sheet="1" autoFilter="0" pivotTables="0"/>
  <sortState xmlns:xlrd2="http://schemas.microsoft.com/office/spreadsheetml/2017/richdata2" ref="A9:J20">
    <sortCondition descending="1" ref="B8"/>
  </sortState>
  <mergeCells count="62">
    <mergeCell ref="AL22:AN22"/>
    <mergeCell ref="AI22:AK22"/>
    <mergeCell ref="AI46:AK46"/>
    <mergeCell ref="AI54:AK54"/>
    <mergeCell ref="K46:M46"/>
    <mergeCell ref="Q46:S46"/>
    <mergeCell ref="Q54:S54"/>
    <mergeCell ref="T54:V54"/>
    <mergeCell ref="N46:P46"/>
    <mergeCell ref="N54:P54"/>
    <mergeCell ref="T46:V46"/>
    <mergeCell ref="Y3:Z3"/>
    <mergeCell ref="K22:M22"/>
    <mergeCell ref="Q22:S22"/>
    <mergeCell ref="T22:V22"/>
    <mergeCell ref="N22:P22"/>
    <mergeCell ref="N3:P3"/>
    <mergeCell ref="T3:V3"/>
    <mergeCell ref="K3:M3"/>
    <mergeCell ref="W3:X3"/>
    <mergeCell ref="Q3:S3"/>
    <mergeCell ref="AR54:AT54"/>
    <mergeCell ref="Z22:AB22"/>
    <mergeCell ref="Z46:AB46"/>
    <mergeCell ref="Z54:AB54"/>
    <mergeCell ref="W22:Y22"/>
    <mergeCell ref="W46:Y46"/>
    <mergeCell ref="W54:Y54"/>
    <mergeCell ref="AR22:AT22"/>
    <mergeCell ref="AR46:AT46"/>
    <mergeCell ref="AC22:AE22"/>
    <mergeCell ref="AF22:AH22"/>
    <mergeCell ref="AF46:AH46"/>
    <mergeCell ref="AF54:AH54"/>
    <mergeCell ref="AC46:AE46"/>
    <mergeCell ref="AC54:AE54"/>
    <mergeCell ref="AL46:AN46"/>
    <mergeCell ref="A2:J2"/>
    <mergeCell ref="A21:J21"/>
    <mergeCell ref="A22:A23"/>
    <mergeCell ref="B22:D22"/>
    <mergeCell ref="E22:G22"/>
    <mergeCell ref="A3:A4"/>
    <mergeCell ref="B3:D3"/>
    <mergeCell ref="E3:G3"/>
    <mergeCell ref="H3:J3"/>
    <mergeCell ref="AO22:AQ22"/>
    <mergeCell ref="AO46:AQ46"/>
    <mergeCell ref="AO54:AQ54"/>
    <mergeCell ref="A54:A55"/>
    <mergeCell ref="B54:D54"/>
    <mergeCell ref="E54:G54"/>
    <mergeCell ref="H54:J54"/>
    <mergeCell ref="K54:M54"/>
    <mergeCell ref="A53:J53"/>
    <mergeCell ref="H22:J22"/>
    <mergeCell ref="A45:J45"/>
    <mergeCell ref="B46:D46"/>
    <mergeCell ref="E46:G46"/>
    <mergeCell ref="H46:J46"/>
    <mergeCell ref="A46:A47"/>
    <mergeCell ref="AL54:AN54"/>
  </mergeCells>
  <pageMargins left="0.7" right="0.7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каз.</vt:lpstr>
      <vt:lpstr>СВОД рус.</vt:lpstr>
      <vt:lpstr>'СВОД каз.'!Область_печати</vt:lpstr>
      <vt:lpstr>'СВОД рус.'!Область_печати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2023-06-23T08:19:10Z</dcterms:modified>
</cp:coreProperties>
</file>